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merkaz\azrieli\planning_corp\נפתלי שטרנליכט\IR\Materials\2018\Q4 &amp; FY 2018\Metrics\Metrics -Q4 2018- without formulas\"/>
    </mc:Choice>
  </mc:AlternateContent>
  <bookViews>
    <workbookView xWindow="0" yWindow="0" windowWidth="12240" windowHeight="9240" tabRatio="595" activeTab="1"/>
  </bookViews>
  <sheets>
    <sheet name="Index" sheetId="1" r:id="rId1"/>
    <sheet name="I - Financials" sheetId="2" r:id="rId2"/>
    <sheet name="II- Other income-exp" sheetId="7" r:id="rId3"/>
    <sheet name="III - KPIs" sheetId="3" r:id="rId4"/>
    <sheet name="IV - Dividends" sheetId="6" r:id="rId5"/>
    <sheet name="V - Glossary " sheetId="4" r:id="rId6"/>
  </sheets>
  <definedNames>
    <definedName name="_ftn1" localSheetId="3">'III - KPIs'!$AP$91</definedName>
    <definedName name="_ftn2" localSheetId="3">'III - KPIs'!$AP$92</definedName>
    <definedName name="_ftnref1" localSheetId="3">'III - KPIs'!$AP$85</definedName>
    <definedName name="_ftnref2" localSheetId="3">'III - KPIs'!$AP$86</definedName>
    <definedName name="ProjectName">{"Client Name or Project Name"}</definedName>
    <definedName name="_xlnm.Print_Area" localSheetId="1">'I - Financials'!$A$1:$BE$503</definedName>
    <definedName name="_xlnm.Print_Area" localSheetId="2">'II- Other income-exp'!$A$4:$AB$34</definedName>
    <definedName name="_xlnm.Print_Area" localSheetId="3">'III - KPIs'!$A$1:$BE$130</definedName>
    <definedName name="_xlnm.Print_Area" localSheetId="0">Index!$A$1:$K$32</definedName>
    <definedName name="_xlnm.Print_Area" localSheetId="4">'IV - Dividends'!$A$1:$D$42</definedName>
    <definedName name="_xlnm.Print_Area" localSheetId="5">'V - Glossary '!$A$1:$L$19</definedName>
    <definedName name="_xlnm.Print_Titles" localSheetId="1">'I - Financials'!$1:$5</definedName>
    <definedName name="_xlnm.Print_Titles" localSheetId="3">'III - KPIs'!$1:$4</definedName>
    <definedName name="_xlnm.Print_Titles" localSheetId="4">'IV - Dividends'!$1:$9</definedName>
    <definedName name="Z_44BC518B_F505_4956_BE42_792973965029_.wvu.PrintArea" localSheetId="1" hidden="1">'I - Financials'!$A$1:$R$504</definedName>
    <definedName name="Z_44BC518B_F505_4956_BE42_792973965029_.wvu.PrintArea" localSheetId="3" hidden="1">'III - KPIs'!$A$1:$R$128</definedName>
    <definedName name="Z_44BC518B_F505_4956_BE42_792973965029_.wvu.PrintArea" localSheetId="0" hidden="1">Index!$A$1:$K$32</definedName>
    <definedName name="Z_44BC518B_F505_4956_BE42_792973965029_.wvu.PrintArea" localSheetId="5" hidden="1">'V - Glossary '!$A$1:$M$20</definedName>
    <definedName name="Z_44BC518B_F505_4956_BE42_792973965029_.wvu.PrintTitles" localSheetId="1" hidden="1">'I - Financials'!$1:$5</definedName>
    <definedName name="Z_44BC518B_F505_4956_BE42_792973965029_.wvu.PrintTitles" localSheetId="3" hidden="1">'III - KPIs'!$1:$4</definedName>
    <definedName name="Z_67DDFA58_7FF7_4BDB_BFFF_31DB4021D095_.wvu.Cols" localSheetId="1" hidden="1">'I - Financials'!$C:$F,'I - Financials'!$H:$K,'I - Financials'!$M:$P</definedName>
    <definedName name="Z_67DDFA58_7FF7_4BDB_BFFF_31DB4021D095_.wvu.Cols" localSheetId="3" hidden="1">'III - KPIs'!$B:$F,'III - KPIs'!$H:$K,'III - KPIs'!$M:$P</definedName>
    <definedName name="Z_67DDFA58_7FF7_4BDB_BFFF_31DB4021D095_.wvu.PrintArea" localSheetId="1" hidden="1">'I - Financials'!$A$1:$AD$504</definedName>
    <definedName name="Z_67DDFA58_7FF7_4BDB_BFFF_31DB4021D095_.wvu.PrintArea" localSheetId="3" hidden="1">'III - KPIs'!$A$1:$AD$128</definedName>
    <definedName name="Z_67DDFA58_7FF7_4BDB_BFFF_31DB4021D095_.wvu.PrintArea" localSheetId="0" hidden="1">Index!$A$1:$K$32</definedName>
    <definedName name="Z_67DDFA58_7FF7_4BDB_BFFF_31DB4021D095_.wvu.PrintArea" localSheetId="5" hidden="1">'V - Glossary '!$A$1:$M$20</definedName>
    <definedName name="Z_67DDFA58_7FF7_4BDB_BFFF_31DB4021D095_.wvu.PrintTitles" localSheetId="1" hidden="1">'I - Financials'!$1:$5</definedName>
    <definedName name="Z_67DDFA58_7FF7_4BDB_BFFF_31DB4021D095_.wvu.PrintTitles" localSheetId="3" hidden="1">'III - KPIs'!$1:$4</definedName>
    <definedName name="Z_67DDFA58_7FF7_4BDB_BFFF_31DB4021D095_.wvu.PrintTitles" localSheetId="4" hidden="1">'IV - Dividends'!$1:$9</definedName>
    <definedName name="Z_6A44E415_E6EC_4CA2_8B4C_A374F00F0261_.wvu.PrintArea" localSheetId="1" hidden="1">'I - Financials'!$A$1:$J$504</definedName>
    <definedName name="Z_6A44E415_E6EC_4CA2_8B4C_A374F00F0261_.wvu.PrintArea" localSheetId="3" hidden="1">'III - KPIs'!$A$1:$I$128</definedName>
    <definedName name="Z_6A44E415_E6EC_4CA2_8B4C_A374F00F0261_.wvu.PrintArea" localSheetId="0" hidden="1">Index!$A$1:$K$32</definedName>
    <definedName name="Z_6A44E415_E6EC_4CA2_8B4C_A374F00F0261_.wvu.PrintArea" localSheetId="5" hidden="1">'V - Glossary '!$A$1:$M$19</definedName>
    <definedName name="Z_6A44E415_E6EC_4CA2_8B4C_A374F00F0261_.wvu.PrintTitles" localSheetId="1" hidden="1">'I - Financials'!$1:$5</definedName>
    <definedName name="Z_6A44E415_E6EC_4CA2_8B4C_A374F00F0261_.wvu.PrintTitles" localSheetId="3" hidden="1">'III - KPIs'!$1:$4</definedName>
    <definedName name="Z_7DC6D345_C4C0_4162_8636_D495A245EBF8_.wvu.Cols" localSheetId="1" hidden="1">'I - Financials'!$C:$F,'I - Financials'!$H:$K,'I - Financials'!$M:$P</definedName>
    <definedName name="Z_7DC6D345_C4C0_4162_8636_D495A245EBF8_.wvu.Cols" localSheetId="3" hidden="1">'III - KPIs'!$B:$F,'III - KPIs'!$H:$K,'III - KPIs'!$M:$P</definedName>
    <definedName name="Z_7DC6D345_C4C0_4162_8636_D495A245EBF8_.wvu.PrintArea" localSheetId="1" hidden="1">'I - Financials'!$A$1:$AD$504</definedName>
    <definedName name="Z_7DC6D345_C4C0_4162_8636_D495A245EBF8_.wvu.PrintArea" localSheetId="3" hidden="1">'III - KPIs'!$A$1:$AD$128</definedName>
    <definedName name="Z_7DC6D345_C4C0_4162_8636_D495A245EBF8_.wvu.PrintArea" localSheetId="0" hidden="1">Index!$A$1:$K$32</definedName>
    <definedName name="Z_7DC6D345_C4C0_4162_8636_D495A245EBF8_.wvu.PrintArea" localSheetId="5" hidden="1">'V - Glossary '!$A$1:$M$20</definedName>
    <definedName name="Z_7DC6D345_C4C0_4162_8636_D495A245EBF8_.wvu.PrintTitles" localSheetId="1" hidden="1">'I - Financials'!$1:$5</definedName>
    <definedName name="Z_7DC6D345_C4C0_4162_8636_D495A245EBF8_.wvu.PrintTitles" localSheetId="3" hidden="1">'III - KPIs'!$1:$4</definedName>
    <definedName name="Z_C32ED439_2914_4073_BFBF_7718D6CFE811_.wvu.PrintArea" localSheetId="1" hidden="1">'I - Financials'!$A$1:$R$504</definedName>
    <definedName name="Z_C32ED439_2914_4073_BFBF_7718D6CFE811_.wvu.PrintArea" localSheetId="3" hidden="1">'III - KPIs'!$A$1:$R$128</definedName>
    <definedName name="Z_C32ED439_2914_4073_BFBF_7718D6CFE811_.wvu.PrintArea" localSheetId="0" hidden="1">Index!$A$1:$K$32</definedName>
    <definedName name="Z_C32ED439_2914_4073_BFBF_7718D6CFE811_.wvu.PrintArea" localSheetId="5" hidden="1">'V - Glossary '!$A$1:$M$20</definedName>
    <definedName name="Z_C32ED439_2914_4073_BFBF_7718D6CFE811_.wvu.PrintTitles" localSheetId="1" hidden="1">'I - Financials'!$1:$5</definedName>
    <definedName name="Z_C32ED439_2914_4073_BFBF_7718D6CFE811_.wvu.PrintTitles" localSheetId="3" hidden="1">'III - KPIs'!$1:$4</definedName>
    <definedName name="Z_C6BBAF30_1E81_42FB_BA93_01B6813E2C8C_.wvu.PrintArea" localSheetId="1" hidden="1">'I - Financials'!$A$1:$O$504</definedName>
    <definedName name="Z_C6BBAF30_1E81_42FB_BA93_01B6813E2C8C_.wvu.PrintArea" localSheetId="3" hidden="1">'III - KPIs'!$A$1:$O$128</definedName>
    <definedName name="Z_C6BBAF30_1E81_42FB_BA93_01B6813E2C8C_.wvu.PrintArea" localSheetId="0" hidden="1">Index!$A$1:$K$32</definedName>
    <definedName name="Z_C6BBAF30_1E81_42FB_BA93_01B6813E2C8C_.wvu.PrintArea" localSheetId="5" hidden="1">'V - Glossary '!$A$1:$M$19</definedName>
    <definedName name="Z_C6BBAF30_1E81_42FB_BA93_01B6813E2C8C_.wvu.PrintTitles" localSheetId="1" hidden="1">'I - Financials'!$1:$5</definedName>
    <definedName name="Z_C6BBAF30_1E81_42FB_BA93_01B6813E2C8C_.wvu.PrintTitles" localSheetId="3" hidden="1">'III - KPIs'!$1:$4</definedName>
    <definedName name="Z_F07085DA_2B2D_4BE1_891D_F25D604A092E_.wvu.PrintArea" localSheetId="1" hidden="1">'I - Financials'!$A$1:$M$504</definedName>
    <definedName name="Z_F07085DA_2B2D_4BE1_891D_F25D604A092E_.wvu.PrintArea" localSheetId="3" hidden="1">'III - KPIs'!$A$1:$M$128</definedName>
    <definedName name="Z_F07085DA_2B2D_4BE1_891D_F25D604A092E_.wvu.PrintArea" localSheetId="0" hidden="1">Index!$A$1:$K$32</definedName>
    <definedName name="Z_F07085DA_2B2D_4BE1_891D_F25D604A092E_.wvu.PrintArea" localSheetId="5" hidden="1">'V - Glossary '!$A$1:$M$19</definedName>
    <definedName name="Z_F07085DA_2B2D_4BE1_891D_F25D604A092E_.wvu.PrintTitles" localSheetId="1" hidden="1">'I - Financials'!$1:$5</definedName>
    <definedName name="Z_F07085DA_2B2D_4BE1_891D_F25D604A092E_.wvu.PrintTitles" localSheetId="3" hidden="1">'III - KPIs'!$1:$4</definedName>
  </definedNames>
  <calcPr calcId="162913"/>
  <customWorkbookViews>
    <customWorkbookView name="eknettel - Personal View" guid="{67DDFA58-7FF7-4BDB-BFFF-31DB4021D095}" mergeInterval="0" personalView="1" maximized="1" xWindow="1" yWindow="1" windowWidth="1362" windowHeight="538" tabRatio="675" activeSheetId="6"/>
    <customWorkbookView name="נפתלי שטרנליכט - חטיבת כספים - Naftali Shternlicht - תצוגה אישית" guid="{7DC6D345-C4C0-4162-8636-D495A245EBF8}" mergeInterval="0" personalView="1" maximized="1" windowWidth="1280" windowHeight="743" tabRatio="675" activeSheetId="2"/>
    <customWorkbookView name="30210485 - תצוגה אישית" guid="{44BC518B-F505-4956-BE42-792973965029}" mergeInterval="0" personalView="1" maximized="1" xWindow="1" yWindow="1" windowWidth="1024" windowHeight="548" activeSheetId="2"/>
    <customWorkbookView name="Erik Knettel - Personal View" guid="{C32ED439-2914-4073-BFBF-7718D6CFE811}" mergeInterval="0" personalView="1" maximized="1" xWindow="1" yWindow="1" windowWidth="1276" windowHeight="559" activeSheetId="4"/>
    <customWorkbookView name="30703826 - תצוגה אישית" guid="{6A44E415-E6EC-4CA2-8B4C-A374F00F0261}" mergeInterval="0" personalView="1" maximized="1" windowWidth="1276" windowHeight="661" activeSheetId="2"/>
    <customWorkbookView name="Administrator - תצוגה אישית" guid="{F07085DA-2B2D-4BE1-891D-F25D604A092E}" mergeInterval="0" personalView="1" maximized="1" windowWidth="796" windowHeight="371" activeSheetId="2"/>
    <customWorkbookView name="Administrator - Personal View" guid="{C6BBAF30-1E81-42FB-BA93-01B6813E2C8C}" mergeInterval="0" personalView="1" maximized="1" windowWidth="1020" windowHeight="569" tabRatio="597" activeSheetId="1"/>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AA170" i="2" l="1"/>
  <c r="V170" i="2"/>
  <c r="L170" i="2"/>
  <c r="G170" i="2"/>
  <c r="B170" i="2"/>
  <c r="Z18" i="7" l="1"/>
  <c r="BE330" i="7" l="1"/>
  <c r="BE332" i="3"/>
  <c r="AD392" i="2" l="1"/>
  <c r="AC392" i="2"/>
  <c r="AE391" i="2"/>
  <c r="G320" i="2"/>
  <c r="L320" i="2"/>
  <c r="Q320" i="2"/>
  <c r="V320" i="2"/>
  <c r="AA320" i="2"/>
  <c r="AD319" i="2"/>
  <c r="AC319" i="2"/>
  <c r="AE318" i="2"/>
  <c r="AE319" i="2" s="1"/>
  <c r="AE392" i="2" l="1"/>
  <c r="AE239" i="2" l="1"/>
  <c r="Z239" i="2"/>
  <c r="U239" i="2"/>
  <c r="P239" i="2"/>
  <c r="K239" i="2"/>
  <c r="D239" i="2"/>
  <c r="C239" i="2"/>
  <c r="F239" i="2" s="1"/>
  <c r="AA24" i="7" l="1"/>
  <c r="AB32" i="7"/>
  <c r="AA30" i="7"/>
  <c r="AA18" i="7"/>
  <c r="Z32" i="7" l="1"/>
  <c r="V24" i="7" l="1"/>
  <c r="Y32" i="7" l="1"/>
  <c r="X32" i="7" l="1"/>
  <c r="G37" i="3" l="1"/>
  <c r="L37" i="3"/>
  <c r="G22" i="3"/>
  <c r="L22" i="3"/>
  <c r="G48" i="3"/>
  <c r="L48" i="3"/>
  <c r="W32" i="7"/>
  <c r="B123" i="2" l="1"/>
  <c r="C123" i="2"/>
  <c r="D123" i="2"/>
  <c r="E123" i="2"/>
  <c r="F123" i="2"/>
  <c r="G123" i="2"/>
  <c r="H123" i="2"/>
  <c r="I123" i="2"/>
  <c r="J123" i="2"/>
  <c r="L123" i="2"/>
  <c r="M123" i="2"/>
  <c r="N123" i="2"/>
  <c r="O123" i="2"/>
  <c r="Q123" i="2"/>
  <c r="R123" i="2"/>
  <c r="S123" i="2"/>
  <c r="T123" i="2"/>
  <c r="V123" i="2"/>
  <c r="W123" i="2"/>
  <c r="X123" i="2"/>
  <c r="Y123" i="2"/>
  <c r="AA123" i="2"/>
  <c r="AB123" i="2"/>
  <c r="AC123" i="2"/>
  <c r="AD123" i="2"/>
  <c r="B124" i="2"/>
  <c r="C124" i="2"/>
  <c r="D124" i="2"/>
  <c r="E124" i="2"/>
  <c r="F124" i="2"/>
  <c r="G124" i="2"/>
  <c r="H124" i="2"/>
  <c r="I124" i="2"/>
  <c r="J124" i="2"/>
  <c r="L124" i="2"/>
  <c r="M124" i="2"/>
  <c r="N124" i="2"/>
  <c r="O124" i="2"/>
  <c r="Q124" i="2"/>
  <c r="R124" i="2"/>
  <c r="S124" i="2"/>
  <c r="T124" i="2"/>
  <c r="V124" i="2"/>
  <c r="W124" i="2"/>
  <c r="X124" i="2"/>
  <c r="Y124" i="2"/>
  <c r="AA124" i="2"/>
  <c r="AB124" i="2"/>
  <c r="AC124" i="2"/>
  <c r="AD124" i="2"/>
  <c r="AD93" i="2"/>
  <c r="AC93" i="2"/>
  <c r="AB93" i="2"/>
  <c r="AA93" i="2"/>
  <c r="Y93" i="2"/>
  <c r="X93" i="2"/>
  <c r="W93" i="2"/>
  <c r="V93" i="2"/>
  <c r="T93" i="2"/>
  <c r="S93" i="2"/>
  <c r="R93" i="2"/>
  <c r="Q93" i="2"/>
  <c r="O93" i="2"/>
  <c r="N93" i="2"/>
  <c r="M93" i="2"/>
  <c r="L93" i="2"/>
  <c r="J93" i="2"/>
  <c r="I93" i="2"/>
  <c r="H93" i="2"/>
  <c r="G93" i="2"/>
  <c r="AD92" i="2"/>
  <c r="AC92" i="2"/>
  <c r="Y92" i="2"/>
  <c r="X92" i="2"/>
  <c r="T92" i="2"/>
  <c r="S92" i="2"/>
  <c r="O92" i="2"/>
  <c r="N92" i="2"/>
  <c r="J92" i="2"/>
  <c r="I92" i="2"/>
  <c r="E92" i="2"/>
  <c r="D92" i="2"/>
  <c r="AE91" i="2"/>
  <c r="AE92" i="2" s="1"/>
  <c r="Z91" i="2"/>
  <c r="AB92" i="2" s="1"/>
  <c r="U91" i="2"/>
  <c r="W92" i="2" s="1"/>
  <c r="P91" i="2"/>
  <c r="K91" i="2"/>
  <c r="K92" i="2" s="1"/>
  <c r="F91" i="2"/>
  <c r="H92" i="2" s="1"/>
  <c r="AE49" i="2"/>
  <c r="AA49" i="2"/>
  <c r="Z49" i="2" s="1"/>
  <c r="V49" i="2"/>
  <c r="U49" i="2" s="1"/>
  <c r="Q49" i="2"/>
  <c r="L49" i="2"/>
  <c r="AD75" i="2"/>
  <c r="AC75" i="2"/>
  <c r="AB75" i="2"/>
  <c r="AA75" i="2"/>
  <c r="Y75" i="2"/>
  <c r="X75" i="2"/>
  <c r="W75" i="2"/>
  <c r="V75" i="2"/>
  <c r="Q75" i="2"/>
  <c r="AD74" i="2"/>
  <c r="AC74" i="2"/>
  <c r="Y74" i="2"/>
  <c r="X74" i="2"/>
  <c r="T74" i="2"/>
  <c r="S74" i="2"/>
  <c r="AE73" i="2"/>
  <c r="Z73" i="2"/>
  <c r="U73" i="2"/>
  <c r="W74" i="2" s="1"/>
  <c r="AE75" i="2" l="1"/>
  <c r="P93" i="2"/>
  <c r="Z92" i="2"/>
  <c r="Z75" i="2"/>
  <c r="U92" i="2"/>
  <c r="U93" i="2"/>
  <c r="F92" i="2"/>
  <c r="Z93" i="2"/>
  <c r="AE74" i="2"/>
  <c r="M92" i="2"/>
  <c r="R92" i="2"/>
  <c r="K93" i="2"/>
  <c r="AE93" i="2"/>
  <c r="P92" i="2"/>
  <c r="U74" i="2"/>
  <c r="Z74" i="2"/>
  <c r="AB74" i="2"/>
  <c r="V30" i="7" l="1"/>
  <c r="V18" i="7"/>
  <c r="V32" i="7" l="1"/>
  <c r="G467" i="2" l="1"/>
  <c r="AA467" i="2"/>
  <c r="V467" i="2"/>
  <c r="Q467" i="2"/>
  <c r="L467" i="2"/>
  <c r="AA216" i="2"/>
  <c r="V216" i="2"/>
  <c r="Q216" i="2"/>
  <c r="L216" i="2"/>
  <c r="G216" i="2"/>
  <c r="U32" i="7" l="1"/>
  <c r="T32" i="7" l="1"/>
  <c r="S32" i="7" l="1"/>
  <c r="Q24" i="7"/>
  <c r="Q18" i="7"/>
  <c r="AD486" i="2"/>
  <c r="AD489" i="2" s="1"/>
  <c r="AC486" i="2"/>
  <c r="AC502" i="2" s="1"/>
  <c r="AB486" i="2"/>
  <c r="AB502" i="2" s="1"/>
  <c r="AE434" i="2"/>
  <c r="AA486" i="2"/>
  <c r="Y486" i="2"/>
  <c r="Y489" i="2" s="1"/>
  <c r="Y494" i="2" s="1"/>
  <c r="X486" i="2"/>
  <c r="W486" i="2"/>
  <c r="W502" i="2" s="1"/>
  <c r="Z434" i="2"/>
  <c r="AB435" i="2" s="1"/>
  <c r="Y502" i="2"/>
  <c r="V486" i="2"/>
  <c r="U434" i="2"/>
  <c r="U502" i="2" s="1"/>
  <c r="T486" i="2"/>
  <c r="T502" i="2" s="1"/>
  <c r="S486" i="2"/>
  <c r="S502" i="2" s="1"/>
  <c r="R486" i="2"/>
  <c r="Q486" i="2"/>
  <c r="Q502" i="2" s="1"/>
  <c r="O486" i="2"/>
  <c r="O489" i="2" s="1"/>
  <c r="O494" i="2" s="1"/>
  <c r="N486" i="2"/>
  <c r="N488" i="2" s="1"/>
  <c r="M486" i="2"/>
  <c r="M502" i="2" s="1"/>
  <c r="P434" i="2"/>
  <c r="R435" i="2" s="1"/>
  <c r="L486" i="2"/>
  <c r="L502" i="2" s="1"/>
  <c r="J486" i="2"/>
  <c r="J502" i="2" s="1"/>
  <c r="H486" i="2"/>
  <c r="H88" i="2" s="1"/>
  <c r="H126" i="2" s="1"/>
  <c r="K434" i="2"/>
  <c r="I502" i="2"/>
  <c r="G486" i="2"/>
  <c r="G489" i="2" s="1"/>
  <c r="G494" i="2" s="1"/>
  <c r="E486" i="2"/>
  <c r="E502" i="2" s="1"/>
  <c r="D486" i="2"/>
  <c r="I488" i="2" s="1"/>
  <c r="F434" i="2"/>
  <c r="H435" i="2" s="1"/>
  <c r="C502" i="2"/>
  <c r="B486" i="2"/>
  <c r="B502" i="2" s="1"/>
  <c r="AD414" i="2"/>
  <c r="AD417" i="2" s="1"/>
  <c r="AC414" i="2"/>
  <c r="AC417" i="2" s="1"/>
  <c r="AB414" i="2"/>
  <c r="AB429" i="2" s="1"/>
  <c r="AE359" i="2"/>
  <c r="AA414" i="2"/>
  <c r="AA429" i="2" s="1"/>
  <c r="Y414" i="2"/>
  <c r="Y417" i="2" s="1"/>
  <c r="X414" i="2"/>
  <c r="W414" i="2"/>
  <c r="W429" i="2" s="1"/>
  <c r="Z359" i="2"/>
  <c r="AB360" i="2" s="1"/>
  <c r="V414" i="2"/>
  <c r="T414" i="2"/>
  <c r="T429" i="2" s="1"/>
  <c r="S414" i="2"/>
  <c r="S429" i="2" s="1"/>
  <c r="R414" i="2"/>
  <c r="R429" i="2" s="1"/>
  <c r="U359" i="2"/>
  <c r="Q414" i="2"/>
  <c r="Q429" i="2" s="1"/>
  <c r="O414" i="2"/>
  <c r="O429" i="2" s="1"/>
  <c r="N414" i="2"/>
  <c r="N429" i="2" s="1"/>
  <c r="M414" i="2"/>
  <c r="M417" i="2" s="1"/>
  <c r="P359" i="2"/>
  <c r="R360" i="2" s="1"/>
  <c r="L414" i="2"/>
  <c r="L429" i="2" s="1"/>
  <c r="J414" i="2"/>
  <c r="J429" i="2" s="1"/>
  <c r="I414" i="2"/>
  <c r="H414" i="2"/>
  <c r="H429" i="2" s="1"/>
  <c r="K359" i="2"/>
  <c r="K360" i="2" s="1"/>
  <c r="G414" i="2"/>
  <c r="E414" i="2"/>
  <c r="D414" i="2"/>
  <c r="D429" i="2" s="1"/>
  <c r="C414" i="2"/>
  <c r="C429" i="2" s="1"/>
  <c r="F359" i="2"/>
  <c r="E429" i="2"/>
  <c r="B414" i="2"/>
  <c r="B429" i="2" s="1"/>
  <c r="AC340" i="2"/>
  <c r="AD285" i="2"/>
  <c r="AD355" i="2" s="1"/>
  <c r="AC285" i="2"/>
  <c r="AC353" i="2" s="1"/>
  <c r="AB285" i="2"/>
  <c r="AB355" i="2" s="1"/>
  <c r="AA285" i="2"/>
  <c r="AA287" i="2" s="1"/>
  <c r="X340" i="2"/>
  <c r="Z340" i="2" s="1"/>
  <c r="AB341" i="2" s="1"/>
  <c r="Y285" i="2"/>
  <c r="Y355" i="2" s="1"/>
  <c r="W285" i="2"/>
  <c r="W355" i="2" s="1"/>
  <c r="V340" i="2"/>
  <c r="T340" i="2"/>
  <c r="T341" i="2" s="1"/>
  <c r="T285" i="2"/>
  <c r="R285" i="2"/>
  <c r="R355" i="2" s="1"/>
  <c r="S355" i="2"/>
  <c r="Q340" i="2"/>
  <c r="Q285" i="2"/>
  <c r="O340" i="2"/>
  <c r="O343" i="2" s="1"/>
  <c r="O345" i="2" s="1"/>
  <c r="N340" i="2"/>
  <c r="M340" i="2"/>
  <c r="M342" i="2" s="1"/>
  <c r="O285" i="2"/>
  <c r="N285" i="2"/>
  <c r="N353" i="2" s="1"/>
  <c r="M285" i="2"/>
  <c r="L340" i="2"/>
  <c r="L343" i="2" s="1"/>
  <c r="L285" i="2"/>
  <c r="I340" i="2"/>
  <c r="I341" i="2" s="1"/>
  <c r="J285" i="2"/>
  <c r="I285" i="2"/>
  <c r="H285" i="2"/>
  <c r="H355" i="2" s="1"/>
  <c r="G340" i="2"/>
  <c r="G343" i="2" s="1"/>
  <c r="G348" i="2" s="1"/>
  <c r="G285" i="2"/>
  <c r="G352" i="2" s="1"/>
  <c r="D340" i="2"/>
  <c r="D343" i="2" s="1"/>
  <c r="E355" i="2"/>
  <c r="C355" i="2"/>
  <c r="B340" i="2"/>
  <c r="B343" i="2" s="1"/>
  <c r="B285" i="2"/>
  <c r="AD236" i="2"/>
  <c r="AD176" i="2"/>
  <c r="AC236" i="2"/>
  <c r="AC240" i="2" s="1"/>
  <c r="AC176" i="2"/>
  <c r="AC278" i="2" s="1"/>
  <c r="AB236" i="2"/>
  <c r="AB240" i="2" s="1"/>
  <c r="AB245" i="2" s="1"/>
  <c r="AB176" i="2"/>
  <c r="AB278" i="2" s="1"/>
  <c r="AA236" i="2"/>
  <c r="AA176" i="2"/>
  <c r="Y236" i="2"/>
  <c r="Y240" i="2" s="1"/>
  <c r="Y245" i="2" s="1"/>
  <c r="Y176" i="2"/>
  <c r="X236" i="2"/>
  <c r="X238" i="2" s="1"/>
  <c r="X176" i="2"/>
  <c r="W236" i="2"/>
  <c r="W240" i="2" s="1"/>
  <c r="W176" i="2"/>
  <c r="V236" i="2"/>
  <c r="V240" i="2" s="1"/>
  <c r="V245" i="2" s="1"/>
  <c r="V176" i="2"/>
  <c r="T236" i="2"/>
  <c r="T240" i="2" s="1"/>
  <c r="T176" i="2"/>
  <c r="T278" i="2" s="1"/>
  <c r="S281" i="2"/>
  <c r="R236" i="2"/>
  <c r="R176" i="2"/>
  <c r="S177" i="2" s="1"/>
  <c r="Q236" i="2"/>
  <c r="Q281" i="2" s="1"/>
  <c r="O236" i="2"/>
  <c r="O238" i="2" s="1"/>
  <c r="O176" i="2"/>
  <c r="O278" i="2" s="1"/>
  <c r="N236" i="2"/>
  <c r="N176" i="2"/>
  <c r="M236" i="2"/>
  <c r="M240" i="2" s="1"/>
  <c r="M245" i="2" s="1"/>
  <c r="M176" i="2"/>
  <c r="L236" i="2"/>
  <c r="L240" i="2" s="1"/>
  <c r="L245" i="2" s="1"/>
  <c r="L176" i="2"/>
  <c r="Q178" i="2" s="1"/>
  <c r="J176" i="2"/>
  <c r="J281" i="2" s="1"/>
  <c r="I236" i="2"/>
  <c r="I176" i="2"/>
  <c r="I278" i="2" s="1"/>
  <c r="H236" i="2"/>
  <c r="H240" i="2" s="1"/>
  <c r="H242" i="2" s="1"/>
  <c r="H176" i="2"/>
  <c r="H278" i="2" s="1"/>
  <c r="G236" i="2"/>
  <c r="G184" i="2"/>
  <c r="G181" i="2"/>
  <c r="G187" i="2"/>
  <c r="E281" i="2"/>
  <c r="D281" i="2"/>
  <c r="C281" i="2"/>
  <c r="B236" i="2"/>
  <c r="B240" i="2" s="1"/>
  <c r="B245" i="2" s="1"/>
  <c r="B176" i="2"/>
  <c r="B278" i="2" s="1"/>
  <c r="AD88" i="2"/>
  <c r="AD126" i="2" s="1"/>
  <c r="AC88" i="2"/>
  <c r="AC126" i="2" s="1"/>
  <c r="AB88" i="2"/>
  <c r="AA88" i="2"/>
  <c r="AA126" i="2" s="1"/>
  <c r="Y88" i="2"/>
  <c r="Y126" i="2" s="1"/>
  <c r="X88" i="2"/>
  <c r="X126" i="2" s="1"/>
  <c r="W88" i="2"/>
  <c r="W126" i="2" s="1"/>
  <c r="V88" i="2"/>
  <c r="V126" i="2" s="1"/>
  <c r="T88" i="2"/>
  <c r="T126" i="2" s="1"/>
  <c r="S88" i="2"/>
  <c r="S126" i="2" s="1"/>
  <c r="R88" i="2"/>
  <c r="R126" i="2" s="1"/>
  <c r="Q88" i="2"/>
  <c r="Q126" i="2" s="1"/>
  <c r="O88" i="2"/>
  <c r="O126" i="2" s="1"/>
  <c r="N88" i="2"/>
  <c r="M88" i="2"/>
  <c r="M126" i="2" s="1"/>
  <c r="L88" i="2"/>
  <c r="L126" i="2" s="1"/>
  <c r="J88" i="2"/>
  <c r="J126" i="2" s="1"/>
  <c r="I88" i="2"/>
  <c r="C88" i="2"/>
  <c r="C126" i="2" s="1"/>
  <c r="B36" i="2"/>
  <c r="B125" i="2" s="1"/>
  <c r="R32" i="7"/>
  <c r="L47" i="3"/>
  <c r="G47" i="3"/>
  <c r="P47" i="3"/>
  <c r="O47" i="3"/>
  <c r="N47" i="3"/>
  <c r="M47" i="3"/>
  <c r="P46" i="3"/>
  <c r="O46" i="3"/>
  <c r="N46" i="3"/>
  <c r="M46" i="3"/>
  <c r="K47" i="3"/>
  <c r="J47" i="3"/>
  <c r="I47" i="3"/>
  <c r="H47" i="3"/>
  <c r="K46" i="3"/>
  <c r="J46" i="3"/>
  <c r="I46" i="3"/>
  <c r="H46" i="3"/>
  <c r="F46" i="3"/>
  <c r="E46" i="3"/>
  <c r="D46" i="3"/>
  <c r="G36" i="2"/>
  <c r="G125" i="2" s="1"/>
  <c r="L36" i="2"/>
  <c r="L125" i="2" s="1"/>
  <c r="Q36" i="2"/>
  <c r="V36" i="2"/>
  <c r="V125" i="2" s="1"/>
  <c r="AA36" i="2"/>
  <c r="AA125" i="2" s="1"/>
  <c r="O36" i="2"/>
  <c r="O125" i="2" s="1"/>
  <c r="N36" i="2"/>
  <c r="N125" i="2" s="1"/>
  <c r="M36" i="2"/>
  <c r="M125" i="2" s="1"/>
  <c r="T36" i="2"/>
  <c r="T125" i="2" s="1"/>
  <c r="S36" i="2"/>
  <c r="S125" i="2" s="1"/>
  <c r="R36" i="2"/>
  <c r="R125" i="2" s="1"/>
  <c r="Y36" i="2"/>
  <c r="Y125" i="2" s="1"/>
  <c r="X36" i="2"/>
  <c r="X125" i="2" s="1"/>
  <c r="W36" i="2"/>
  <c r="W125" i="2" s="1"/>
  <c r="AD36" i="2"/>
  <c r="AD125" i="2" s="1"/>
  <c r="AC36" i="2"/>
  <c r="AC125" i="2" s="1"/>
  <c r="AB36" i="2"/>
  <c r="AB125" i="2" s="1"/>
  <c r="AE388" i="2"/>
  <c r="AA390" i="2"/>
  <c r="V390" i="2"/>
  <c r="Q390" i="2"/>
  <c r="L390" i="2"/>
  <c r="G390" i="2"/>
  <c r="AD389" i="2"/>
  <c r="AC389" i="2"/>
  <c r="AE315" i="2"/>
  <c r="AD316" i="2"/>
  <c r="AC316" i="2"/>
  <c r="AA317" i="2"/>
  <c r="V317" i="2"/>
  <c r="Q317" i="2"/>
  <c r="L317" i="2"/>
  <c r="G317" i="2"/>
  <c r="AD31" i="2"/>
  <c r="AC31" i="2"/>
  <c r="AB31" i="2"/>
  <c r="AA31" i="2"/>
  <c r="Y31" i="2"/>
  <c r="X31" i="2"/>
  <c r="W31" i="2"/>
  <c r="V31" i="2"/>
  <c r="T31" i="2"/>
  <c r="S31" i="2"/>
  <c r="R31" i="2"/>
  <c r="Q31" i="2"/>
  <c r="O31" i="2"/>
  <c r="N31" i="2"/>
  <c r="M31" i="2"/>
  <c r="L31" i="2"/>
  <c r="J31" i="2"/>
  <c r="I31" i="2"/>
  <c r="H31" i="2"/>
  <c r="AD30" i="2"/>
  <c r="AC30" i="2"/>
  <c r="Y30" i="2"/>
  <c r="X30" i="2"/>
  <c r="T30" i="2"/>
  <c r="S30" i="2"/>
  <c r="O30" i="2"/>
  <c r="N30" i="2"/>
  <c r="J30" i="2"/>
  <c r="I30" i="2"/>
  <c r="G31" i="2"/>
  <c r="E30" i="2"/>
  <c r="D30" i="2"/>
  <c r="F29" i="2"/>
  <c r="H30" i="2" s="1"/>
  <c r="K29" i="2"/>
  <c r="M30" i="2" s="1"/>
  <c r="P29" i="2"/>
  <c r="U29" i="2"/>
  <c r="U30" i="2" s="1"/>
  <c r="Z29" i="2"/>
  <c r="AB30" i="2" s="1"/>
  <c r="AE29" i="2"/>
  <c r="P32" i="7"/>
  <c r="O32" i="7"/>
  <c r="N32" i="7"/>
  <c r="M32" i="7"/>
  <c r="K32" i="7"/>
  <c r="J32" i="7"/>
  <c r="I32" i="7"/>
  <c r="H32" i="7"/>
  <c r="F32" i="7"/>
  <c r="E32" i="7"/>
  <c r="D32" i="7"/>
  <c r="C32" i="7"/>
  <c r="B32" i="7"/>
  <c r="L24" i="7"/>
  <c r="L22" i="7"/>
  <c r="G22" i="7"/>
  <c r="G32" i="7" s="1"/>
  <c r="L18" i="7"/>
  <c r="Q114" i="2"/>
  <c r="V114" i="2"/>
  <c r="AA114" i="2"/>
  <c r="B468" i="2"/>
  <c r="G468" i="2"/>
  <c r="L468" i="2"/>
  <c r="Q468" i="2"/>
  <c r="V468" i="2"/>
  <c r="AA468" i="2"/>
  <c r="AD449" i="2"/>
  <c r="AC449" i="2"/>
  <c r="AB449" i="2"/>
  <c r="AB451" i="2" s="1"/>
  <c r="AD455" i="2"/>
  <c r="AC455" i="2"/>
  <c r="AB455" i="2"/>
  <c r="AD446" i="2"/>
  <c r="AC446" i="2"/>
  <c r="AB446" i="2"/>
  <c r="AK177" i="3"/>
  <c r="AC474" i="2"/>
  <c r="AC382" i="2"/>
  <c r="AC383" i="2" s="1"/>
  <c r="AB474" i="2"/>
  <c r="AG202" i="3"/>
  <c r="AG205" i="3" s="1"/>
  <c r="AA382" i="2"/>
  <c r="AA474" i="2"/>
  <c r="AA501" i="2" s="1"/>
  <c r="AE399" i="2"/>
  <c r="V382" i="2"/>
  <c r="U382" i="2" s="1"/>
  <c r="AD382" i="2"/>
  <c r="AE373" i="2"/>
  <c r="AE235" i="2"/>
  <c r="P26" i="3"/>
  <c r="O26" i="3"/>
  <c r="N26" i="3"/>
  <c r="M26" i="3"/>
  <c r="L26" i="3"/>
  <c r="K26" i="3"/>
  <c r="J26" i="3"/>
  <c r="I26" i="3"/>
  <c r="H26" i="3"/>
  <c r="P25" i="3"/>
  <c r="O25" i="3"/>
  <c r="N25" i="3"/>
  <c r="M25" i="3"/>
  <c r="K25" i="3"/>
  <c r="J25" i="3"/>
  <c r="I25" i="3"/>
  <c r="H25" i="3"/>
  <c r="F25" i="3"/>
  <c r="E25" i="3"/>
  <c r="D25" i="3"/>
  <c r="G371" i="2"/>
  <c r="G369" i="2"/>
  <c r="L371" i="2"/>
  <c r="L369" i="2"/>
  <c r="Q371" i="2"/>
  <c r="Q369" i="2"/>
  <c r="V371" i="2"/>
  <c r="V369" i="2"/>
  <c r="G366" i="2"/>
  <c r="G364" i="2"/>
  <c r="V366" i="2"/>
  <c r="L366" i="2"/>
  <c r="L364" i="2"/>
  <c r="Q366" i="2"/>
  <c r="Q364" i="2"/>
  <c r="V364" i="2"/>
  <c r="AA366" i="2"/>
  <c r="AA364" i="2"/>
  <c r="AA371" i="2"/>
  <c r="AA369" i="2"/>
  <c r="V298" i="2"/>
  <c r="V296" i="2"/>
  <c r="Q198" i="2"/>
  <c r="Q196" i="2"/>
  <c r="L102" i="3"/>
  <c r="G102" i="3"/>
  <c r="L127" i="3"/>
  <c r="AE483" i="2"/>
  <c r="AE437" i="2"/>
  <c r="AE452" i="2"/>
  <c r="AE471" i="2"/>
  <c r="AE379" i="2"/>
  <c r="AE380" i="2" s="1"/>
  <c r="AE334" i="2"/>
  <c r="AE309" i="2"/>
  <c r="AE306" i="2"/>
  <c r="AE300" i="2"/>
  <c r="AE326" i="2"/>
  <c r="AE291" i="2"/>
  <c r="AE288" i="2"/>
  <c r="AE289" i="2" s="1"/>
  <c r="AE274" i="2"/>
  <c r="AE275" i="2" s="1"/>
  <c r="AE271" i="2"/>
  <c r="AE272" i="2" s="1"/>
  <c r="AE268" i="2"/>
  <c r="AE256" i="2"/>
  <c r="AE265" i="2"/>
  <c r="AE262" i="2"/>
  <c r="AE259" i="2"/>
  <c r="AE260" i="2" s="1"/>
  <c r="AE234" i="2"/>
  <c r="AE230" i="2"/>
  <c r="AE231" i="2" s="1"/>
  <c r="AE211" i="2"/>
  <c r="AE206" i="2"/>
  <c r="AE203" i="2"/>
  <c r="AE204" i="2" s="1"/>
  <c r="AE200" i="2"/>
  <c r="AE201" i="2" s="1"/>
  <c r="AE208" i="2"/>
  <c r="AE191" i="2"/>
  <c r="AE185" i="2"/>
  <c r="AE179" i="2"/>
  <c r="AE180" i="2" s="1"/>
  <c r="AE182" i="2"/>
  <c r="AE70" i="2"/>
  <c r="AE67" i="2"/>
  <c r="AE64" i="2"/>
  <c r="AE61" i="2"/>
  <c r="AE62" i="2" s="1"/>
  <c r="AE58" i="2"/>
  <c r="AE59" i="2" s="1"/>
  <c r="AE55" i="2"/>
  <c r="AE52" i="2"/>
  <c r="AE87" i="2"/>
  <c r="AE86" i="2"/>
  <c r="AE82" i="2"/>
  <c r="AE26" i="2"/>
  <c r="AE23" i="2"/>
  <c r="AE18" i="2"/>
  <c r="AE15" i="2"/>
  <c r="AE12" i="2"/>
  <c r="AE32" i="2"/>
  <c r="AE20" i="2"/>
  <c r="AE9" i="2"/>
  <c r="D12" i="3"/>
  <c r="E12" i="3"/>
  <c r="F12" i="3"/>
  <c r="H12" i="3"/>
  <c r="I12" i="3"/>
  <c r="J12" i="3"/>
  <c r="K12" i="3"/>
  <c r="M12" i="3"/>
  <c r="N12" i="3"/>
  <c r="O12" i="3"/>
  <c r="P12" i="3"/>
  <c r="G13" i="3"/>
  <c r="H13" i="3"/>
  <c r="I13" i="3"/>
  <c r="J13" i="3"/>
  <c r="K13" i="3"/>
  <c r="L13" i="3"/>
  <c r="M13" i="3"/>
  <c r="N13" i="3"/>
  <c r="O13" i="3"/>
  <c r="P13" i="3"/>
  <c r="F15" i="3"/>
  <c r="F16" i="3" s="1"/>
  <c r="K15" i="3"/>
  <c r="P15" i="3"/>
  <c r="P16" i="3" s="1"/>
  <c r="D16" i="3"/>
  <c r="E16" i="3"/>
  <c r="I16" i="3"/>
  <c r="J16" i="3"/>
  <c r="N16" i="3"/>
  <c r="O16" i="3"/>
  <c r="G17" i="3"/>
  <c r="H17" i="3"/>
  <c r="I17" i="3"/>
  <c r="J17" i="3"/>
  <c r="L17" i="3"/>
  <c r="M17" i="3"/>
  <c r="N17" i="3"/>
  <c r="O17" i="3"/>
  <c r="D20" i="3"/>
  <c r="E20" i="3"/>
  <c r="F20" i="3"/>
  <c r="H20" i="3"/>
  <c r="I20" i="3"/>
  <c r="J20" i="3"/>
  <c r="K20" i="3"/>
  <c r="M20" i="3"/>
  <c r="N20" i="3"/>
  <c r="O20" i="3"/>
  <c r="P20" i="3"/>
  <c r="G21" i="3"/>
  <c r="H21" i="3"/>
  <c r="I21" i="3"/>
  <c r="J21" i="3"/>
  <c r="K21" i="3"/>
  <c r="L21" i="3"/>
  <c r="M21" i="3"/>
  <c r="N21" i="3"/>
  <c r="O21" i="3"/>
  <c r="P21" i="3"/>
  <c r="D29" i="3"/>
  <c r="E29" i="3"/>
  <c r="F29" i="3"/>
  <c r="H29" i="3"/>
  <c r="I29" i="3"/>
  <c r="J29" i="3"/>
  <c r="K29" i="3"/>
  <c r="M29" i="3"/>
  <c r="N29" i="3"/>
  <c r="O29" i="3"/>
  <c r="P29" i="3"/>
  <c r="G30" i="3"/>
  <c r="H30" i="3"/>
  <c r="I30" i="3"/>
  <c r="J30" i="3"/>
  <c r="K30" i="3"/>
  <c r="L30" i="3"/>
  <c r="M30" i="3"/>
  <c r="N30" i="3"/>
  <c r="O30" i="3"/>
  <c r="P30" i="3"/>
  <c r="D35" i="3"/>
  <c r="E35" i="3"/>
  <c r="F35" i="3"/>
  <c r="H35" i="3"/>
  <c r="I35" i="3"/>
  <c r="J35" i="3"/>
  <c r="K35" i="3"/>
  <c r="M35" i="3"/>
  <c r="N35" i="3"/>
  <c r="O35" i="3"/>
  <c r="P35" i="3"/>
  <c r="G36" i="3"/>
  <c r="H36" i="3"/>
  <c r="I36" i="3"/>
  <c r="J36" i="3"/>
  <c r="K36" i="3"/>
  <c r="L36" i="3"/>
  <c r="M36" i="3"/>
  <c r="N36" i="3"/>
  <c r="O36" i="3"/>
  <c r="P36" i="3"/>
  <c r="D51" i="3"/>
  <c r="E51" i="3"/>
  <c r="F51" i="3"/>
  <c r="H51" i="3"/>
  <c r="I51" i="3"/>
  <c r="J51" i="3"/>
  <c r="K51" i="3"/>
  <c r="M51" i="3"/>
  <c r="N51" i="3"/>
  <c r="O51" i="3"/>
  <c r="P51" i="3"/>
  <c r="G52" i="3"/>
  <c r="H52" i="3"/>
  <c r="I52" i="3"/>
  <c r="J52" i="3"/>
  <c r="K52" i="3"/>
  <c r="L52" i="3"/>
  <c r="M52" i="3"/>
  <c r="N52" i="3"/>
  <c r="O52" i="3"/>
  <c r="P52" i="3"/>
  <c r="D54" i="3"/>
  <c r="E54" i="3"/>
  <c r="F54" i="3"/>
  <c r="H54" i="3"/>
  <c r="I54" i="3"/>
  <c r="J54" i="3"/>
  <c r="K54" i="3"/>
  <c r="M54" i="3"/>
  <c r="N54" i="3"/>
  <c r="O54" i="3"/>
  <c r="P54" i="3"/>
  <c r="G55" i="3"/>
  <c r="H55" i="3"/>
  <c r="I55" i="3"/>
  <c r="J55" i="3"/>
  <c r="K55" i="3"/>
  <c r="L55" i="3"/>
  <c r="M55" i="3"/>
  <c r="N55" i="3"/>
  <c r="O55" i="3"/>
  <c r="P55" i="3"/>
  <c r="G58" i="3"/>
  <c r="L58" i="3"/>
  <c r="K69" i="3"/>
  <c r="M70" i="3" s="1"/>
  <c r="P69" i="3"/>
  <c r="D70" i="3"/>
  <c r="E70" i="3"/>
  <c r="F70" i="3"/>
  <c r="H70" i="3"/>
  <c r="I70" i="3"/>
  <c r="J70" i="3"/>
  <c r="K70" i="3"/>
  <c r="N70" i="3"/>
  <c r="O70" i="3"/>
  <c r="G71" i="3"/>
  <c r="H71" i="3"/>
  <c r="I71" i="3"/>
  <c r="J71" i="3"/>
  <c r="L71" i="3"/>
  <c r="M71" i="3"/>
  <c r="N71" i="3"/>
  <c r="O71" i="3"/>
  <c r="N85" i="3"/>
  <c r="O85" i="3"/>
  <c r="P85" i="3"/>
  <c r="D116" i="3"/>
  <c r="E116" i="3"/>
  <c r="F116" i="3"/>
  <c r="H116" i="3"/>
  <c r="I116" i="3"/>
  <c r="J116" i="3"/>
  <c r="K116" i="3"/>
  <c r="M116" i="3"/>
  <c r="N116" i="3"/>
  <c r="O116" i="3"/>
  <c r="P116" i="3"/>
  <c r="G117" i="3"/>
  <c r="H117" i="3"/>
  <c r="I117" i="3"/>
  <c r="J117" i="3"/>
  <c r="K117" i="3"/>
  <c r="L117" i="3"/>
  <c r="M117" i="3"/>
  <c r="N117" i="3"/>
  <c r="O117" i="3"/>
  <c r="P117" i="3"/>
  <c r="D121" i="3"/>
  <c r="E121" i="3"/>
  <c r="F121" i="3"/>
  <c r="H121" i="3"/>
  <c r="I121" i="3"/>
  <c r="J121" i="3"/>
  <c r="K121" i="3"/>
  <c r="M121" i="3"/>
  <c r="N121" i="3"/>
  <c r="O121" i="3"/>
  <c r="P121" i="3"/>
  <c r="G122" i="3"/>
  <c r="H122" i="3"/>
  <c r="I122" i="3"/>
  <c r="J122" i="3"/>
  <c r="K122" i="3"/>
  <c r="L122" i="3"/>
  <c r="M122" i="3"/>
  <c r="N122" i="3"/>
  <c r="O122" i="3"/>
  <c r="P122" i="3"/>
  <c r="O230" i="3"/>
  <c r="T230" i="3"/>
  <c r="T233" i="3" s="1"/>
  <c r="K9" i="2"/>
  <c r="K10" i="2" s="1"/>
  <c r="P9" i="2"/>
  <c r="R10" i="2" s="1"/>
  <c r="U9" i="2"/>
  <c r="U10" i="2" s="1"/>
  <c r="Z9" i="2"/>
  <c r="Z10" i="2" s="1"/>
  <c r="D10" i="2"/>
  <c r="E10" i="2"/>
  <c r="F10" i="2"/>
  <c r="H10" i="2"/>
  <c r="I10" i="2"/>
  <c r="J10" i="2"/>
  <c r="N10" i="2"/>
  <c r="O10" i="2"/>
  <c r="S10" i="2"/>
  <c r="T10" i="2"/>
  <c r="X10" i="2"/>
  <c r="Y10" i="2"/>
  <c r="AC10" i="2"/>
  <c r="AD10" i="2"/>
  <c r="G11" i="2"/>
  <c r="H11" i="2"/>
  <c r="I11" i="2"/>
  <c r="J11" i="2"/>
  <c r="L11" i="2"/>
  <c r="M11" i="2"/>
  <c r="N11" i="2"/>
  <c r="O11" i="2"/>
  <c r="Q11" i="2"/>
  <c r="R11" i="2"/>
  <c r="S11" i="2"/>
  <c r="T11" i="2"/>
  <c r="V11" i="2"/>
  <c r="W11" i="2"/>
  <c r="X11" i="2"/>
  <c r="Y11" i="2"/>
  <c r="AA11" i="2"/>
  <c r="AB11" i="2"/>
  <c r="AC11" i="2"/>
  <c r="AD11" i="2"/>
  <c r="K20" i="2"/>
  <c r="P20" i="2"/>
  <c r="U20" i="2"/>
  <c r="Z20" i="2"/>
  <c r="D21" i="2"/>
  <c r="E21" i="2"/>
  <c r="F21" i="2"/>
  <c r="H21" i="2"/>
  <c r="I21" i="2"/>
  <c r="J21" i="2"/>
  <c r="N21" i="2"/>
  <c r="O21" i="2"/>
  <c r="S21" i="2"/>
  <c r="T21" i="2"/>
  <c r="X21" i="2"/>
  <c r="Y21" i="2"/>
  <c r="AC21" i="2"/>
  <c r="AD21" i="2"/>
  <c r="G22" i="2"/>
  <c r="H22" i="2"/>
  <c r="I22" i="2"/>
  <c r="J22" i="2"/>
  <c r="L22" i="2"/>
  <c r="M22" i="2"/>
  <c r="N22" i="2"/>
  <c r="O22" i="2"/>
  <c r="Q22" i="2"/>
  <c r="R22" i="2"/>
  <c r="S22" i="2"/>
  <c r="T22" i="2"/>
  <c r="V22" i="2"/>
  <c r="W22" i="2"/>
  <c r="X22" i="2"/>
  <c r="Y22" i="2"/>
  <c r="AA22" i="2"/>
  <c r="AB22" i="2"/>
  <c r="AC22" i="2"/>
  <c r="AD22" i="2"/>
  <c r="K32" i="2"/>
  <c r="K124" i="2" s="1"/>
  <c r="P32" i="2"/>
  <c r="U32" i="2"/>
  <c r="U124" i="2" s="1"/>
  <c r="Z32" i="2"/>
  <c r="Z124" i="2" s="1"/>
  <c r="D33" i="2"/>
  <c r="E33" i="2"/>
  <c r="F33" i="2"/>
  <c r="H33" i="2"/>
  <c r="I33" i="2"/>
  <c r="J33" i="2"/>
  <c r="N33" i="2"/>
  <c r="O33" i="2"/>
  <c r="S33" i="2"/>
  <c r="T33" i="2"/>
  <c r="X33" i="2"/>
  <c r="Y33" i="2"/>
  <c r="AC33" i="2"/>
  <c r="AD33" i="2"/>
  <c r="G34" i="2"/>
  <c r="H34" i="2"/>
  <c r="I34" i="2"/>
  <c r="J34" i="2"/>
  <c r="L34" i="2"/>
  <c r="M34" i="2"/>
  <c r="N34" i="2"/>
  <c r="O34" i="2"/>
  <c r="Q34" i="2"/>
  <c r="R34" i="2"/>
  <c r="S34" i="2"/>
  <c r="T34" i="2"/>
  <c r="V34" i="2"/>
  <c r="W34" i="2"/>
  <c r="X34" i="2"/>
  <c r="Y34" i="2"/>
  <c r="AA34" i="2"/>
  <c r="AB34" i="2"/>
  <c r="AC34" i="2"/>
  <c r="AD34" i="2"/>
  <c r="F39" i="2"/>
  <c r="L39" i="2"/>
  <c r="K39" i="2" s="1"/>
  <c r="M39" i="2"/>
  <c r="U39" i="2"/>
  <c r="Z39" i="2"/>
  <c r="F45" i="2"/>
  <c r="L45" i="2"/>
  <c r="K45" i="2" s="1"/>
  <c r="M45" i="2"/>
  <c r="Z45" i="2"/>
  <c r="K12" i="2"/>
  <c r="K14" i="2" s="1"/>
  <c r="P12" i="2"/>
  <c r="U12" i="2"/>
  <c r="U13" i="2" s="1"/>
  <c r="Z12" i="2"/>
  <c r="D13" i="2"/>
  <c r="E13" i="2"/>
  <c r="F13" i="2"/>
  <c r="H13" i="2"/>
  <c r="I13" i="2"/>
  <c r="J13" i="2"/>
  <c r="N13" i="2"/>
  <c r="O13" i="2"/>
  <c r="S13" i="2"/>
  <c r="T13" i="2"/>
  <c r="X13" i="2"/>
  <c r="Y13" i="2"/>
  <c r="AC13" i="2"/>
  <c r="AD13" i="2"/>
  <c r="G14" i="2"/>
  <c r="H14" i="2"/>
  <c r="I14" i="2"/>
  <c r="J14" i="2"/>
  <c r="L14" i="2"/>
  <c r="M14" i="2"/>
  <c r="N14" i="2"/>
  <c r="O14" i="2"/>
  <c r="Q14" i="2"/>
  <c r="R14" i="2"/>
  <c r="S14" i="2"/>
  <c r="T14" i="2"/>
  <c r="V14" i="2"/>
  <c r="W14" i="2"/>
  <c r="X14" i="2"/>
  <c r="Y14" i="2"/>
  <c r="AA14" i="2"/>
  <c r="AB14" i="2"/>
  <c r="AC14" i="2"/>
  <c r="AD14" i="2"/>
  <c r="P15" i="2"/>
  <c r="U15" i="2"/>
  <c r="Z15" i="2"/>
  <c r="AB16" i="2" s="1"/>
  <c r="N16" i="2"/>
  <c r="O16" i="2"/>
  <c r="S16" i="2"/>
  <c r="T16" i="2"/>
  <c r="X16" i="2"/>
  <c r="Y16" i="2"/>
  <c r="AC16" i="2"/>
  <c r="AD16" i="2"/>
  <c r="G17" i="2"/>
  <c r="L17" i="2"/>
  <c r="Q17" i="2"/>
  <c r="R17" i="2"/>
  <c r="S17" i="2"/>
  <c r="T17" i="2"/>
  <c r="V17" i="2"/>
  <c r="W17" i="2"/>
  <c r="X17" i="2"/>
  <c r="Y17" i="2"/>
  <c r="AA17" i="2"/>
  <c r="AB17" i="2"/>
  <c r="AC17" i="2"/>
  <c r="AD17" i="2"/>
  <c r="P18" i="2"/>
  <c r="U18" i="2"/>
  <c r="Z18" i="2"/>
  <c r="P23" i="2"/>
  <c r="U23" i="2"/>
  <c r="U24" i="2" s="1"/>
  <c r="Z23" i="2"/>
  <c r="O24" i="2"/>
  <c r="S24" i="2"/>
  <c r="T24" i="2"/>
  <c r="Y24" i="2"/>
  <c r="AC24" i="2"/>
  <c r="AD24" i="2"/>
  <c r="G25" i="2"/>
  <c r="S25" i="2"/>
  <c r="T25" i="2"/>
  <c r="V25" i="2"/>
  <c r="X25" i="2"/>
  <c r="Y25" i="2"/>
  <c r="AA25" i="2"/>
  <c r="AB25" i="2"/>
  <c r="AC25" i="2"/>
  <c r="AD25" i="2"/>
  <c r="P26" i="2"/>
  <c r="U26" i="2"/>
  <c r="W27" i="2" s="1"/>
  <c r="Z26" i="2"/>
  <c r="N27" i="2"/>
  <c r="O27" i="2"/>
  <c r="S27" i="2"/>
  <c r="T27" i="2"/>
  <c r="X27" i="2"/>
  <c r="Y27" i="2"/>
  <c r="AC27" i="2"/>
  <c r="AD27" i="2"/>
  <c r="S28" i="2"/>
  <c r="T28" i="2"/>
  <c r="V28" i="2"/>
  <c r="W28" i="2"/>
  <c r="X28" i="2"/>
  <c r="Y28" i="2"/>
  <c r="AA28" i="2"/>
  <c r="AB28" i="2"/>
  <c r="AC28" i="2"/>
  <c r="AD28" i="2"/>
  <c r="C36" i="2"/>
  <c r="C125" i="2" s="1"/>
  <c r="D36" i="2"/>
  <c r="D125" i="2" s="1"/>
  <c r="E36" i="2"/>
  <c r="E125" i="2" s="1"/>
  <c r="H36" i="2"/>
  <c r="H125" i="2" s="1"/>
  <c r="I36" i="2"/>
  <c r="I125" i="2" s="1"/>
  <c r="J36" i="2"/>
  <c r="J125" i="2" s="1"/>
  <c r="B82" i="2"/>
  <c r="C82" i="2"/>
  <c r="D82" i="2"/>
  <c r="E82" i="2"/>
  <c r="J84" i="2" s="1"/>
  <c r="G82" i="2"/>
  <c r="G84" i="2" s="1"/>
  <c r="H82" i="2"/>
  <c r="M84" i="2" s="1"/>
  <c r="I82" i="2"/>
  <c r="L82" i="2"/>
  <c r="Q84" i="2" s="1"/>
  <c r="P82" i="2"/>
  <c r="U82" i="2"/>
  <c r="U83" i="2" s="1"/>
  <c r="Z82" i="2"/>
  <c r="N83" i="2"/>
  <c r="O83" i="2"/>
  <c r="S83" i="2"/>
  <c r="T83" i="2"/>
  <c r="X83" i="2"/>
  <c r="Y83" i="2"/>
  <c r="AC83" i="2"/>
  <c r="AD83" i="2"/>
  <c r="O84" i="2"/>
  <c r="R84" i="2"/>
  <c r="S84" i="2"/>
  <c r="T84" i="2"/>
  <c r="V84" i="2"/>
  <c r="W84" i="2"/>
  <c r="X84" i="2"/>
  <c r="Y84" i="2"/>
  <c r="AA84" i="2"/>
  <c r="AB84" i="2"/>
  <c r="AC84" i="2"/>
  <c r="AD84" i="2"/>
  <c r="B85" i="2"/>
  <c r="C85" i="2"/>
  <c r="D85" i="2"/>
  <c r="E85" i="2"/>
  <c r="G85" i="2"/>
  <c r="G87" i="2" s="1"/>
  <c r="H85" i="2"/>
  <c r="I85" i="2"/>
  <c r="I87" i="2" s="1"/>
  <c r="J85" i="2"/>
  <c r="L85" i="2"/>
  <c r="Q87" i="2" s="1"/>
  <c r="U85" i="2"/>
  <c r="U87" i="2" s="1"/>
  <c r="AA85" i="2"/>
  <c r="AA87" i="2" s="1"/>
  <c r="N86" i="2"/>
  <c r="O86" i="2"/>
  <c r="P86" i="2"/>
  <c r="R86" i="2"/>
  <c r="S86" i="2"/>
  <c r="T86" i="2"/>
  <c r="X86" i="2"/>
  <c r="Y86" i="2"/>
  <c r="Z86" i="2"/>
  <c r="AB86" i="2"/>
  <c r="AC86" i="2"/>
  <c r="AD86" i="2"/>
  <c r="R87" i="2"/>
  <c r="S87" i="2"/>
  <c r="T87" i="2"/>
  <c r="V87" i="2"/>
  <c r="W87" i="2"/>
  <c r="X87" i="2"/>
  <c r="Y87" i="2"/>
  <c r="AB87" i="2"/>
  <c r="AC87" i="2"/>
  <c r="AD87" i="2"/>
  <c r="L51" i="2"/>
  <c r="P49" i="2"/>
  <c r="P50" i="2" s="1"/>
  <c r="R51" i="2"/>
  <c r="S51" i="2"/>
  <c r="T51" i="2"/>
  <c r="V51" i="2"/>
  <c r="AA51" i="2"/>
  <c r="AB51" i="2"/>
  <c r="N50" i="2"/>
  <c r="O50" i="2"/>
  <c r="G51" i="2"/>
  <c r="U52" i="2"/>
  <c r="U53" i="2" s="1"/>
  <c r="Z52" i="2"/>
  <c r="AB53" i="2" s="1"/>
  <c r="S53" i="2"/>
  <c r="T53" i="2"/>
  <c r="X53" i="2"/>
  <c r="Y53" i="2"/>
  <c r="AC53" i="2"/>
  <c r="AD53" i="2"/>
  <c r="Q54" i="2"/>
  <c r="V54" i="2"/>
  <c r="W54" i="2"/>
  <c r="X54" i="2"/>
  <c r="Y54" i="2"/>
  <c r="AA54" i="2"/>
  <c r="AB54" i="2"/>
  <c r="AC54" i="2"/>
  <c r="AD54" i="2"/>
  <c r="U55" i="2"/>
  <c r="U56" i="2" s="1"/>
  <c r="Z55" i="2"/>
  <c r="Z56" i="2" s="1"/>
  <c r="S56" i="2"/>
  <c r="T56" i="2"/>
  <c r="X56" i="2"/>
  <c r="Y56" i="2"/>
  <c r="AC56" i="2"/>
  <c r="AD56" i="2"/>
  <c r="Q57" i="2"/>
  <c r="V57" i="2"/>
  <c r="W57" i="2"/>
  <c r="X57" i="2"/>
  <c r="Y57" i="2"/>
  <c r="AA57" i="2"/>
  <c r="AB57" i="2"/>
  <c r="AC57" i="2"/>
  <c r="AD57" i="2"/>
  <c r="U58" i="2"/>
  <c r="Z58" i="2"/>
  <c r="AB59" i="2" s="1"/>
  <c r="S59" i="2"/>
  <c r="T59" i="2"/>
  <c r="X59" i="2"/>
  <c r="Y59" i="2"/>
  <c r="AC59" i="2"/>
  <c r="AD59" i="2"/>
  <c r="Q60" i="2"/>
  <c r="V60" i="2"/>
  <c r="W60" i="2"/>
  <c r="X60" i="2"/>
  <c r="Y60" i="2"/>
  <c r="AA60" i="2"/>
  <c r="AB60" i="2"/>
  <c r="AC60" i="2"/>
  <c r="AD60" i="2"/>
  <c r="U61" i="2"/>
  <c r="U62" i="2" s="1"/>
  <c r="Z61" i="2"/>
  <c r="S62" i="2"/>
  <c r="T62" i="2"/>
  <c r="X62" i="2"/>
  <c r="Y62" i="2"/>
  <c r="AC62" i="2"/>
  <c r="AD62" i="2"/>
  <c r="Q63" i="2"/>
  <c r="V63" i="2"/>
  <c r="W63" i="2"/>
  <c r="X63" i="2"/>
  <c r="Y63" i="2"/>
  <c r="AA63" i="2"/>
  <c r="AB63" i="2"/>
  <c r="AC63" i="2"/>
  <c r="AD63" i="2"/>
  <c r="U64" i="2"/>
  <c r="Z64" i="2"/>
  <c r="Z65" i="2" s="1"/>
  <c r="S65" i="2"/>
  <c r="T65" i="2"/>
  <c r="X65" i="2"/>
  <c r="Y65" i="2"/>
  <c r="AC65" i="2"/>
  <c r="AD65" i="2"/>
  <c r="Q66" i="2"/>
  <c r="V66" i="2"/>
  <c r="W66" i="2"/>
  <c r="X66" i="2"/>
  <c r="Y66" i="2"/>
  <c r="AA66" i="2"/>
  <c r="AB66" i="2"/>
  <c r="AC66" i="2"/>
  <c r="AD66" i="2"/>
  <c r="U67" i="2"/>
  <c r="Z67" i="2"/>
  <c r="Z68" i="2" s="1"/>
  <c r="S68" i="2"/>
  <c r="T68" i="2"/>
  <c r="X68" i="2"/>
  <c r="Y68" i="2"/>
  <c r="AC68" i="2"/>
  <c r="AD68" i="2"/>
  <c r="Q69" i="2"/>
  <c r="V69" i="2"/>
  <c r="W69" i="2"/>
  <c r="X69" i="2"/>
  <c r="Y69" i="2"/>
  <c r="AA69" i="2"/>
  <c r="AB69" i="2"/>
  <c r="AC69" i="2"/>
  <c r="AD69" i="2"/>
  <c r="U70" i="2"/>
  <c r="W71" i="2" s="1"/>
  <c r="Z70" i="2"/>
  <c r="AB71" i="2" s="1"/>
  <c r="S71" i="2"/>
  <c r="T71" i="2"/>
  <c r="X71" i="2"/>
  <c r="Y71" i="2"/>
  <c r="AC71" i="2"/>
  <c r="AD71" i="2"/>
  <c r="Q72" i="2"/>
  <c r="V72" i="2"/>
  <c r="W72" i="2"/>
  <c r="X72" i="2"/>
  <c r="Y72" i="2"/>
  <c r="AA72" i="2"/>
  <c r="AB72" i="2"/>
  <c r="AC72" i="2"/>
  <c r="AD72" i="2"/>
  <c r="D177" i="2"/>
  <c r="E177" i="2"/>
  <c r="K182" i="2"/>
  <c r="P182" i="2"/>
  <c r="R183" i="2" s="1"/>
  <c r="U182" i="2"/>
  <c r="W183" i="2" s="1"/>
  <c r="Z182" i="2"/>
  <c r="Z183" i="2" s="1"/>
  <c r="I183" i="2"/>
  <c r="J183" i="2"/>
  <c r="N183" i="2"/>
  <c r="O183" i="2"/>
  <c r="S183" i="2"/>
  <c r="T183" i="2"/>
  <c r="X183" i="2"/>
  <c r="Y183" i="2"/>
  <c r="AC183" i="2"/>
  <c r="AD183" i="2"/>
  <c r="L184" i="2"/>
  <c r="M184" i="2"/>
  <c r="N184" i="2"/>
  <c r="O184" i="2"/>
  <c r="Q184" i="2"/>
  <c r="R184" i="2"/>
  <c r="S184" i="2"/>
  <c r="T184" i="2"/>
  <c r="V184" i="2"/>
  <c r="W184" i="2"/>
  <c r="X184" i="2"/>
  <c r="Y184" i="2"/>
  <c r="AA184" i="2"/>
  <c r="AB184" i="2"/>
  <c r="AC184" i="2"/>
  <c r="AD184" i="2"/>
  <c r="K179" i="2"/>
  <c r="K180" i="2" s="1"/>
  <c r="P179" i="2"/>
  <c r="U179" i="2"/>
  <c r="W180" i="2" s="1"/>
  <c r="Z179" i="2"/>
  <c r="AB180" i="2" s="1"/>
  <c r="I180" i="2"/>
  <c r="J180" i="2"/>
  <c r="N180" i="2"/>
  <c r="O180" i="2"/>
  <c r="S180" i="2"/>
  <c r="T180" i="2"/>
  <c r="X180" i="2"/>
  <c r="Y180" i="2"/>
  <c r="AC180" i="2"/>
  <c r="AD180" i="2"/>
  <c r="L181" i="2"/>
  <c r="M181" i="2"/>
  <c r="N181" i="2"/>
  <c r="O181" i="2"/>
  <c r="Q181" i="2"/>
  <c r="R181" i="2"/>
  <c r="S181" i="2"/>
  <c r="T181" i="2"/>
  <c r="V181" i="2"/>
  <c r="W181" i="2"/>
  <c r="X181" i="2"/>
  <c r="Y181" i="2"/>
  <c r="AA181" i="2"/>
  <c r="AB181" i="2"/>
  <c r="AC181" i="2"/>
  <c r="AD181" i="2"/>
  <c r="K185" i="2"/>
  <c r="P185" i="2"/>
  <c r="R186" i="2" s="1"/>
  <c r="U185" i="2"/>
  <c r="U186" i="2" s="1"/>
  <c r="Z185" i="2"/>
  <c r="Z186" i="2" s="1"/>
  <c r="I186" i="2"/>
  <c r="J186" i="2"/>
  <c r="N186" i="2"/>
  <c r="O186" i="2"/>
  <c r="S186" i="2"/>
  <c r="T186" i="2"/>
  <c r="X186" i="2"/>
  <c r="Y186" i="2"/>
  <c r="AC186" i="2"/>
  <c r="AD186" i="2"/>
  <c r="L187" i="2"/>
  <c r="M187" i="2"/>
  <c r="N187" i="2"/>
  <c r="O187" i="2"/>
  <c r="Q187" i="2"/>
  <c r="R187" i="2"/>
  <c r="S187" i="2"/>
  <c r="T187" i="2"/>
  <c r="V187" i="2"/>
  <c r="W187" i="2"/>
  <c r="X187" i="2"/>
  <c r="Y187" i="2"/>
  <c r="AA187" i="2"/>
  <c r="AB187" i="2"/>
  <c r="AC187" i="2"/>
  <c r="AD187" i="2"/>
  <c r="K191" i="2"/>
  <c r="K192" i="2" s="1"/>
  <c r="P191" i="2"/>
  <c r="U191" i="2"/>
  <c r="Z191" i="2"/>
  <c r="I192" i="2"/>
  <c r="J192" i="2"/>
  <c r="N192" i="2"/>
  <c r="O192" i="2"/>
  <c r="S192" i="2"/>
  <c r="T192" i="2"/>
  <c r="X192" i="2"/>
  <c r="Y192" i="2"/>
  <c r="AC192" i="2"/>
  <c r="AD192" i="2"/>
  <c r="G193" i="2"/>
  <c r="L193" i="2"/>
  <c r="M193" i="2"/>
  <c r="N193" i="2"/>
  <c r="O193" i="2"/>
  <c r="Q193" i="2"/>
  <c r="R193" i="2"/>
  <c r="S193" i="2"/>
  <c r="T193" i="2"/>
  <c r="V193" i="2"/>
  <c r="W193" i="2"/>
  <c r="X193" i="2"/>
  <c r="Y193" i="2"/>
  <c r="AA193" i="2"/>
  <c r="AB193" i="2"/>
  <c r="AC193" i="2"/>
  <c r="AD193" i="2"/>
  <c r="F208" i="2"/>
  <c r="F209" i="2" s="1"/>
  <c r="K208" i="2"/>
  <c r="P208" i="2"/>
  <c r="U208" i="2"/>
  <c r="W209" i="2" s="1"/>
  <c r="Z208" i="2"/>
  <c r="AB209" i="2" s="1"/>
  <c r="D209" i="2"/>
  <c r="E209" i="2"/>
  <c r="I209" i="2"/>
  <c r="J209" i="2"/>
  <c r="N209" i="2"/>
  <c r="O209" i="2"/>
  <c r="S209" i="2"/>
  <c r="T209" i="2"/>
  <c r="X209" i="2"/>
  <c r="Y209" i="2"/>
  <c r="AC209" i="2"/>
  <c r="AD209" i="2"/>
  <c r="G210" i="2"/>
  <c r="H210" i="2"/>
  <c r="I210" i="2"/>
  <c r="J210" i="2"/>
  <c r="L210" i="2"/>
  <c r="M210" i="2"/>
  <c r="N210" i="2"/>
  <c r="O210" i="2"/>
  <c r="Q210" i="2"/>
  <c r="R210" i="2"/>
  <c r="S210" i="2"/>
  <c r="T210" i="2"/>
  <c r="V210" i="2"/>
  <c r="W210" i="2"/>
  <c r="X210" i="2"/>
  <c r="Y210" i="2"/>
  <c r="AA210" i="2"/>
  <c r="AB210" i="2"/>
  <c r="AC210" i="2"/>
  <c r="AD210" i="2"/>
  <c r="B217" i="2"/>
  <c r="C217" i="2"/>
  <c r="C279" i="2" s="1"/>
  <c r="D217" i="2"/>
  <c r="E217" i="2"/>
  <c r="J219" i="2" s="1"/>
  <c r="G217" i="2"/>
  <c r="H217" i="2"/>
  <c r="H219" i="2" s="1"/>
  <c r="I217" i="2"/>
  <c r="L217" i="2"/>
  <c r="M217" i="2"/>
  <c r="N217" i="2"/>
  <c r="O217" i="2"/>
  <c r="Q217" i="2"/>
  <c r="Q279" i="2" s="1"/>
  <c r="R217" i="2"/>
  <c r="T217" i="2"/>
  <c r="W217" i="2"/>
  <c r="X217" i="2"/>
  <c r="X219" i="2" s="1"/>
  <c r="Y217" i="2"/>
  <c r="AD219" i="2" s="1"/>
  <c r="AA217" i="2"/>
  <c r="F200" i="2"/>
  <c r="K200" i="2"/>
  <c r="P200" i="2"/>
  <c r="U200" i="2"/>
  <c r="U201" i="2" s="1"/>
  <c r="Z200" i="2"/>
  <c r="D201" i="2"/>
  <c r="E201" i="2"/>
  <c r="I201" i="2"/>
  <c r="J201" i="2"/>
  <c r="N201" i="2"/>
  <c r="O201" i="2"/>
  <c r="S201" i="2"/>
  <c r="T201" i="2"/>
  <c r="X201" i="2"/>
  <c r="Y201" i="2"/>
  <c r="AC201" i="2"/>
  <c r="AD201" i="2"/>
  <c r="G202" i="2"/>
  <c r="H202" i="2"/>
  <c r="I202" i="2"/>
  <c r="J202" i="2"/>
  <c r="L202" i="2"/>
  <c r="M202" i="2"/>
  <c r="N202" i="2"/>
  <c r="O202" i="2"/>
  <c r="Q202" i="2"/>
  <c r="R202" i="2"/>
  <c r="S202" i="2"/>
  <c r="T202" i="2"/>
  <c r="V202" i="2"/>
  <c r="W202" i="2"/>
  <c r="X202" i="2"/>
  <c r="Y202" i="2"/>
  <c r="AA202" i="2"/>
  <c r="AB202" i="2"/>
  <c r="AC202" i="2"/>
  <c r="AD202" i="2"/>
  <c r="K203" i="2"/>
  <c r="K204" i="2" s="1"/>
  <c r="P203" i="2"/>
  <c r="U203" i="2"/>
  <c r="U204" i="2" s="1"/>
  <c r="Z203" i="2"/>
  <c r="I204" i="2"/>
  <c r="J204" i="2"/>
  <c r="N204" i="2"/>
  <c r="O204" i="2"/>
  <c r="S204" i="2"/>
  <c r="T204" i="2"/>
  <c r="X204" i="2"/>
  <c r="Y204" i="2"/>
  <c r="AC204" i="2"/>
  <c r="AD204" i="2"/>
  <c r="G205" i="2"/>
  <c r="L205" i="2"/>
  <c r="M205" i="2"/>
  <c r="N205" i="2"/>
  <c r="O205" i="2"/>
  <c r="Q205" i="2"/>
  <c r="R205" i="2"/>
  <c r="S205" i="2"/>
  <c r="T205" i="2"/>
  <c r="V205" i="2"/>
  <c r="W205" i="2"/>
  <c r="X205" i="2"/>
  <c r="Y205" i="2"/>
  <c r="AA205" i="2"/>
  <c r="AB205" i="2"/>
  <c r="AC205" i="2"/>
  <c r="AD205" i="2"/>
  <c r="K206" i="2"/>
  <c r="P206" i="2"/>
  <c r="U206" i="2"/>
  <c r="Z206" i="2"/>
  <c r="K211" i="2"/>
  <c r="P211" i="2"/>
  <c r="U211" i="2"/>
  <c r="U212" i="2" s="1"/>
  <c r="Z211" i="2"/>
  <c r="I212" i="2"/>
  <c r="O212" i="2"/>
  <c r="S212" i="2"/>
  <c r="T212" i="2"/>
  <c r="X212" i="2"/>
  <c r="Y212" i="2"/>
  <c r="AC212" i="2"/>
  <c r="AD212" i="2"/>
  <c r="G213" i="2"/>
  <c r="M213" i="2"/>
  <c r="N213" i="2"/>
  <c r="O213" i="2"/>
  <c r="S213" i="2"/>
  <c r="T213" i="2"/>
  <c r="V213" i="2"/>
  <c r="W213" i="2"/>
  <c r="X213" i="2"/>
  <c r="Y213" i="2"/>
  <c r="AA213" i="2"/>
  <c r="AB213" i="2"/>
  <c r="AC213" i="2"/>
  <c r="AD213" i="2"/>
  <c r="B221" i="2"/>
  <c r="C221" i="2"/>
  <c r="C280" i="2" s="1"/>
  <c r="D221" i="2"/>
  <c r="E221" i="2"/>
  <c r="G221" i="2"/>
  <c r="H221" i="2"/>
  <c r="I221" i="2"/>
  <c r="J221" i="2"/>
  <c r="L221" i="2"/>
  <c r="L226" i="2" s="1"/>
  <c r="M221" i="2"/>
  <c r="N221" i="2"/>
  <c r="O221" i="2"/>
  <c r="Q221" i="2"/>
  <c r="Q226" i="2" s="1"/>
  <c r="R221" i="2"/>
  <c r="S221" i="2"/>
  <c r="T221" i="2"/>
  <c r="V221" i="2"/>
  <c r="V223" i="2" s="1"/>
  <c r="W221" i="2"/>
  <c r="X221" i="2"/>
  <c r="Y221" i="2"/>
  <c r="AA221" i="2"/>
  <c r="AA226" i="2" s="1"/>
  <c r="AB221" i="2"/>
  <c r="AB226" i="2" s="1"/>
  <c r="AC221" i="2"/>
  <c r="AD221" i="2"/>
  <c r="K230" i="2"/>
  <c r="M231" i="2" s="1"/>
  <c r="P230" i="2"/>
  <c r="R230" i="2"/>
  <c r="Z230" i="2"/>
  <c r="I231" i="2"/>
  <c r="J231" i="2"/>
  <c r="N231" i="2"/>
  <c r="O231" i="2"/>
  <c r="T231" i="2"/>
  <c r="X231" i="2"/>
  <c r="Y231" i="2"/>
  <c r="AC231" i="2"/>
  <c r="AD231" i="2"/>
  <c r="G232" i="2"/>
  <c r="L232" i="2"/>
  <c r="M232" i="2"/>
  <c r="N232" i="2"/>
  <c r="O232" i="2"/>
  <c r="Q232" i="2"/>
  <c r="S232" i="2"/>
  <c r="T232" i="2"/>
  <c r="V232" i="2"/>
  <c r="X232" i="2"/>
  <c r="Y232" i="2"/>
  <c r="AA232" i="2"/>
  <c r="AB232" i="2"/>
  <c r="AC232" i="2"/>
  <c r="AD232" i="2"/>
  <c r="G233" i="2"/>
  <c r="G235" i="2" s="1"/>
  <c r="K233" i="2"/>
  <c r="M234" i="2" s="1"/>
  <c r="Q233" i="2"/>
  <c r="U233" i="2"/>
  <c r="AA233" i="2"/>
  <c r="AA235" i="2" s="1"/>
  <c r="D234" i="2"/>
  <c r="E234" i="2"/>
  <c r="I234" i="2"/>
  <c r="J234" i="2"/>
  <c r="N234" i="2"/>
  <c r="O234" i="2"/>
  <c r="P234" i="2"/>
  <c r="R234" i="2"/>
  <c r="S234" i="2"/>
  <c r="T234" i="2"/>
  <c r="X234" i="2"/>
  <c r="Y234" i="2"/>
  <c r="Z234" i="2"/>
  <c r="AB234" i="2"/>
  <c r="AC234" i="2"/>
  <c r="AD234" i="2"/>
  <c r="H235" i="2"/>
  <c r="I235" i="2"/>
  <c r="J235" i="2"/>
  <c r="M235" i="2"/>
  <c r="N235" i="2"/>
  <c r="O235" i="2"/>
  <c r="R235" i="2"/>
  <c r="S235" i="2"/>
  <c r="T235" i="2"/>
  <c r="W235" i="2"/>
  <c r="X235" i="2"/>
  <c r="Y235" i="2"/>
  <c r="AB235" i="2"/>
  <c r="AC235" i="2"/>
  <c r="AD235" i="2"/>
  <c r="D237" i="2"/>
  <c r="E237" i="2"/>
  <c r="J238" i="2"/>
  <c r="E240" i="2"/>
  <c r="E241" i="2" s="1"/>
  <c r="J240" i="2"/>
  <c r="S240" i="2"/>
  <c r="D241" i="2"/>
  <c r="C278" i="2"/>
  <c r="D278" i="2"/>
  <c r="E278" i="2"/>
  <c r="Q278" i="2"/>
  <c r="S278" i="2"/>
  <c r="S279" i="2"/>
  <c r="U253" i="2"/>
  <c r="U254" i="2" s="1"/>
  <c r="Z253" i="2"/>
  <c r="Z254" i="2" s="1"/>
  <c r="AB253" i="2"/>
  <c r="AB255" i="2" s="1"/>
  <c r="AC253" i="2"/>
  <c r="AD253" i="2"/>
  <c r="S254" i="2"/>
  <c r="T254" i="2"/>
  <c r="X254" i="2"/>
  <c r="Y254" i="2"/>
  <c r="G255" i="2"/>
  <c r="L255" i="2"/>
  <c r="Q255" i="2"/>
  <c r="V255" i="2"/>
  <c r="W255" i="2"/>
  <c r="X255" i="2"/>
  <c r="Y255" i="2"/>
  <c r="AA255" i="2"/>
  <c r="U259" i="2"/>
  <c r="U260" i="2" s="1"/>
  <c r="Z259" i="2"/>
  <c r="S260" i="2"/>
  <c r="T260" i="2"/>
  <c r="X260" i="2"/>
  <c r="Y260" i="2"/>
  <c r="AC260" i="2"/>
  <c r="AD260" i="2"/>
  <c r="Q261" i="2"/>
  <c r="V261" i="2"/>
  <c r="W261" i="2"/>
  <c r="X261" i="2"/>
  <c r="Y261" i="2"/>
  <c r="AA261" i="2"/>
  <c r="AB261" i="2"/>
  <c r="AC261" i="2"/>
  <c r="AD261" i="2"/>
  <c r="U262" i="2"/>
  <c r="W263" i="2" s="1"/>
  <c r="Z262" i="2"/>
  <c r="S263" i="2"/>
  <c r="T263" i="2"/>
  <c r="X263" i="2"/>
  <c r="Y263" i="2"/>
  <c r="AC263" i="2"/>
  <c r="AD263" i="2"/>
  <c r="Q264" i="2"/>
  <c r="V264" i="2"/>
  <c r="W264" i="2"/>
  <c r="X264" i="2"/>
  <c r="Y264" i="2"/>
  <c r="AA264" i="2"/>
  <c r="AB264" i="2"/>
  <c r="AC264" i="2"/>
  <c r="AD264" i="2"/>
  <c r="U265" i="2"/>
  <c r="W266" i="2" s="1"/>
  <c r="Z265" i="2"/>
  <c r="Z266" i="2" s="1"/>
  <c r="S266" i="2"/>
  <c r="T266" i="2"/>
  <c r="X266" i="2"/>
  <c r="Y266" i="2"/>
  <c r="AC266" i="2"/>
  <c r="AD266" i="2"/>
  <c r="Q267" i="2"/>
  <c r="V267" i="2"/>
  <c r="W267" i="2"/>
  <c r="X267" i="2"/>
  <c r="Y267" i="2"/>
  <c r="AA267" i="2"/>
  <c r="AB267" i="2"/>
  <c r="AC267" i="2"/>
  <c r="AD267" i="2"/>
  <c r="U256" i="2"/>
  <c r="Z256" i="2"/>
  <c r="S257" i="2"/>
  <c r="T257" i="2"/>
  <c r="X257" i="2"/>
  <c r="Y257" i="2"/>
  <c r="AC257" i="2"/>
  <c r="AD257" i="2"/>
  <c r="Q258" i="2"/>
  <c r="V258" i="2"/>
  <c r="W258" i="2"/>
  <c r="X258" i="2"/>
  <c r="Y258" i="2"/>
  <c r="AA258" i="2"/>
  <c r="AB258" i="2"/>
  <c r="AC258" i="2"/>
  <c r="AD258" i="2"/>
  <c r="U268" i="2"/>
  <c r="Z268" i="2"/>
  <c r="S269" i="2"/>
  <c r="T269" i="2"/>
  <c r="X269" i="2"/>
  <c r="Y269" i="2"/>
  <c r="AC269" i="2"/>
  <c r="AD269" i="2"/>
  <c r="Q270" i="2"/>
  <c r="V270" i="2"/>
  <c r="W270" i="2"/>
  <c r="X270" i="2"/>
  <c r="Y270" i="2"/>
  <c r="AA270" i="2"/>
  <c r="AB270" i="2"/>
  <c r="AC270" i="2"/>
  <c r="AD270" i="2"/>
  <c r="U271" i="2"/>
  <c r="U272" i="2" s="1"/>
  <c r="Z271" i="2"/>
  <c r="S272" i="2"/>
  <c r="T272" i="2"/>
  <c r="X272" i="2"/>
  <c r="Y272" i="2"/>
  <c r="AC272" i="2"/>
  <c r="AD272" i="2"/>
  <c r="Q273" i="2"/>
  <c r="V273" i="2"/>
  <c r="W273" i="2"/>
  <c r="X273" i="2"/>
  <c r="Y273" i="2"/>
  <c r="AA273" i="2"/>
  <c r="AB273" i="2"/>
  <c r="AC273" i="2"/>
  <c r="AD273" i="2"/>
  <c r="U274" i="2"/>
  <c r="W275" i="2" s="1"/>
  <c r="Z274" i="2"/>
  <c r="AB275" i="2" s="1"/>
  <c r="S275" i="2"/>
  <c r="T275" i="2"/>
  <c r="X275" i="2"/>
  <c r="Y275" i="2"/>
  <c r="AC275" i="2"/>
  <c r="AD275" i="2"/>
  <c r="Q276" i="2"/>
  <c r="V276" i="2"/>
  <c r="W276" i="2"/>
  <c r="X276" i="2"/>
  <c r="Y276" i="2"/>
  <c r="AA276" i="2"/>
  <c r="AB276" i="2"/>
  <c r="AC276" i="2"/>
  <c r="AD276" i="2"/>
  <c r="D286" i="2"/>
  <c r="E286" i="2"/>
  <c r="X287" i="2"/>
  <c r="K288" i="2"/>
  <c r="P288" i="2"/>
  <c r="U288" i="2"/>
  <c r="U289" i="2" s="1"/>
  <c r="Z288" i="2"/>
  <c r="I289" i="2"/>
  <c r="J289" i="2"/>
  <c r="N289" i="2"/>
  <c r="O289" i="2"/>
  <c r="S289" i="2"/>
  <c r="T289" i="2"/>
  <c r="X289" i="2"/>
  <c r="Y289" i="2"/>
  <c r="AC289" i="2"/>
  <c r="AD289" i="2"/>
  <c r="G290" i="2"/>
  <c r="L290" i="2"/>
  <c r="M290" i="2"/>
  <c r="N290" i="2"/>
  <c r="O290" i="2"/>
  <c r="Q290" i="2"/>
  <c r="R290" i="2"/>
  <c r="S290" i="2"/>
  <c r="T290" i="2"/>
  <c r="V290" i="2"/>
  <c r="W290" i="2"/>
  <c r="X290" i="2"/>
  <c r="Y290" i="2"/>
  <c r="AA290" i="2"/>
  <c r="AB290" i="2"/>
  <c r="AC290" i="2"/>
  <c r="AD290" i="2"/>
  <c r="K291" i="2"/>
  <c r="P291" i="2"/>
  <c r="R292" i="2" s="1"/>
  <c r="U291" i="2"/>
  <c r="Z291" i="2"/>
  <c r="I292" i="2"/>
  <c r="J292" i="2"/>
  <c r="N292" i="2"/>
  <c r="O292" i="2"/>
  <c r="S292" i="2"/>
  <c r="T292" i="2"/>
  <c r="X292" i="2"/>
  <c r="Y292" i="2"/>
  <c r="AC292" i="2"/>
  <c r="AD292" i="2"/>
  <c r="G293" i="2"/>
  <c r="L293" i="2"/>
  <c r="M293" i="2"/>
  <c r="N293" i="2"/>
  <c r="O293" i="2"/>
  <c r="Q293" i="2"/>
  <c r="R293" i="2"/>
  <c r="S293" i="2"/>
  <c r="T293" i="2"/>
  <c r="V293" i="2"/>
  <c r="W293" i="2"/>
  <c r="X293" i="2"/>
  <c r="Y293" i="2"/>
  <c r="AA293" i="2"/>
  <c r="AB293" i="2"/>
  <c r="AC293" i="2"/>
  <c r="AD293" i="2"/>
  <c r="K303" i="2"/>
  <c r="P303" i="2"/>
  <c r="P304" i="2" s="1"/>
  <c r="U303" i="2"/>
  <c r="U304" i="2" s="1"/>
  <c r="Z303" i="2"/>
  <c r="I304" i="2"/>
  <c r="J304" i="2"/>
  <c r="N304" i="2"/>
  <c r="O304" i="2"/>
  <c r="S304" i="2"/>
  <c r="T304" i="2"/>
  <c r="X304" i="2"/>
  <c r="Y304" i="2"/>
  <c r="G305" i="2"/>
  <c r="L305" i="2"/>
  <c r="M305" i="2"/>
  <c r="N305" i="2"/>
  <c r="O305" i="2"/>
  <c r="Q305" i="2"/>
  <c r="R305" i="2"/>
  <c r="S305" i="2"/>
  <c r="T305" i="2"/>
  <c r="V305" i="2"/>
  <c r="W305" i="2"/>
  <c r="X305" i="2"/>
  <c r="Y305" i="2"/>
  <c r="AA305" i="2"/>
  <c r="F323" i="2"/>
  <c r="H324" i="2" s="1"/>
  <c r="K323" i="2"/>
  <c r="P323" i="2"/>
  <c r="R324" i="2" s="1"/>
  <c r="U323" i="2"/>
  <c r="W324" i="2" s="1"/>
  <c r="Z323" i="2"/>
  <c r="Z324" i="2" s="1"/>
  <c r="D324" i="2"/>
  <c r="E324" i="2"/>
  <c r="I324" i="2"/>
  <c r="J324" i="2"/>
  <c r="N324" i="2"/>
  <c r="O324" i="2"/>
  <c r="S324" i="2"/>
  <c r="T324" i="2"/>
  <c r="X324" i="2"/>
  <c r="Y324" i="2"/>
  <c r="G325" i="2"/>
  <c r="H325" i="2"/>
  <c r="I325" i="2"/>
  <c r="J325" i="2"/>
  <c r="L325" i="2"/>
  <c r="M325" i="2"/>
  <c r="N325" i="2"/>
  <c r="O325" i="2"/>
  <c r="Q325" i="2"/>
  <c r="R325" i="2"/>
  <c r="S325" i="2"/>
  <c r="T325" i="2"/>
  <c r="V325" i="2"/>
  <c r="W325" i="2"/>
  <c r="X325" i="2"/>
  <c r="Y325" i="2"/>
  <c r="AA325" i="2"/>
  <c r="F326" i="2"/>
  <c r="H327" i="2" s="1"/>
  <c r="K326" i="2"/>
  <c r="P326" i="2"/>
  <c r="P327" i="2" s="1"/>
  <c r="U326" i="2"/>
  <c r="Z326" i="2"/>
  <c r="Z327" i="2" s="1"/>
  <c r="D327" i="2"/>
  <c r="E327" i="2"/>
  <c r="I327" i="2"/>
  <c r="J327" i="2"/>
  <c r="N327" i="2"/>
  <c r="O327" i="2"/>
  <c r="S327" i="2"/>
  <c r="T327" i="2"/>
  <c r="X327" i="2"/>
  <c r="Y327" i="2"/>
  <c r="AC327" i="2"/>
  <c r="AD327" i="2"/>
  <c r="G328" i="2"/>
  <c r="H328" i="2"/>
  <c r="I328" i="2"/>
  <c r="J328" i="2"/>
  <c r="L328" i="2"/>
  <c r="M328" i="2"/>
  <c r="N328" i="2"/>
  <c r="O328" i="2"/>
  <c r="Q328" i="2"/>
  <c r="R328" i="2"/>
  <c r="S328" i="2"/>
  <c r="T328" i="2"/>
  <c r="V328" i="2"/>
  <c r="W328" i="2"/>
  <c r="X328" i="2"/>
  <c r="Y328" i="2"/>
  <c r="AA328" i="2"/>
  <c r="AB328" i="2"/>
  <c r="AC328" i="2"/>
  <c r="AD328" i="2"/>
  <c r="K300" i="2"/>
  <c r="M301" i="2" s="1"/>
  <c r="P300" i="2"/>
  <c r="U300" i="2"/>
  <c r="W301" i="2" s="1"/>
  <c r="Z300" i="2"/>
  <c r="Z301" i="2" s="1"/>
  <c r="I301" i="2"/>
  <c r="J301" i="2"/>
  <c r="N301" i="2"/>
  <c r="O301" i="2"/>
  <c r="S301" i="2"/>
  <c r="T301" i="2"/>
  <c r="X301" i="2"/>
  <c r="Y301" i="2"/>
  <c r="AC301" i="2"/>
  <c r="AD301" i="2"/>
  <c r="G302" i="2"/>
  <c r="L302" i="2"/>
  <c r="M302" i="2"/>
  <c r="N302" i="2"/>
  <c r="O302" i="2"/>
  <c r="Q302" i="2"/>
  <c r="R302" i="2"/>
  <c r="S302" i="2"/>
  <c r="T302" i="2"/>
  <c r="V302" i="2"/>
  <c r="W302" i="2"/>
  <c r="X302" i="2"/>
  <c r="Y302" i="2"/>
  <c r="AA302" i="2"/>
  <c r="AB302" i="2"/>
  <c r="AC302" i="2"/>
  <c r="AD302" i="2"/>
  <c r="K306" i="2"/>
  <c r="K307" i="2" s="1"/>
  <c r="P306" i="2"/>
  <c r="U306" i="2"/>
  <c r="U307" i="2" s="1"/>
  <c r="Z306" i="2"/>
  <c r="AB307" i="2" s="1"/>
  <c r="I307" i="2"/>
  <c r="J307" i="2"/>
  <c r="N307" i="2"/>
  <c r="O307" i="2"/>
  <c r="S307" i="2"/>
  <c r="T307" i="2"/>
  <c r="X307" i="2"/>
  <c r="Y307" i="2"/>
  <c r="AC307" i="2"/>
  <c r="AD307" i="2"/>
  <c r="G308" i="2"/>
  <c r="L308" i="2"/>
  <c r="M308" i="2"/>
  <c r="N308" i="2"/>
  <c r="O308" i="2"/>
  <c r="Q308" i="2"/>
  <c r="R308" i="2"/>
  <c r="S308" i="2"/>
  <c r="T308" i="2"/>
  <c r="V308" i="2"/>
  <c r="W308" i="2"/>
  <c r="X308" i="2"/>
  <c r="Y308" i="2"/>
  <c r="AA308" i="2"/>
  <c r="AB308" i="2"/>
  <c r="AC308" i="2"/>
  <c r="AD308" i="2"/>
  <c r="K309" i="2"/>
  <c r="M310" i="2" s="1"/>
  <c r="P309" i="2"/>
  <c r="U309" i="2"/>
  <c r="Z309" i="2"/>
  <c r="Z310" i="2" s="1"/>
  <c r="I310" i="2"/>
  <c r="J310" i="2"/>
  <c r="N310" i="2"/>
  <c r="O310" i="2"/>
  <c r="S310" i="2"/>
  <c r="T310" i="2"/>
  <c r="X310" i="2"/>
  <c r="Y310" i="2"/>
  <c r="AC310" i="2"/>
  <c r="AD310" i="2"/>
  <c r="G311" i="2"/>
  <c r="L311" i="2"/>
  <c r="M311" i="2"/>
  <c r="N311" i="2"/>
  <c r="O311" i="2"/>
  <c r="Q311" i="2"/>
  <c r="R311" i="2"/>
  <c r="S311" i="2"/>
  <c r="T311" i="2"/>
  <c r="V311" i="2"/>
  <c r="W311" i="2"/>
  <c r="X311" i="2"/>
  <c r="Y311" i="2"/>
  <c r="AA311" i="2"/>
  <c r="AB311" i="2"/>
  <c r="AC311" i="2"/>
  <c r="AD311" i="2"/>
  <c r="B312" i="2"/>
  <c r="B329" i="2" s="1"/>
  <c r="G312" i="2"/>
  <c r="G329" i="2" s="1"/>
  <c r="I312" i="2"/>
  <c r="J313" i="2" s="1"/>
  <c r="L312" i="2"/>
  <c r="M312" i="2"/>
  <c r="R314" i="2" s="1"/>
  <c r="N312" i="2"/>
  <c r="O312" i="2"/>
  <c r="T314" i="2" s="1"/>
  <c r="Q312" i="2"/>
  <c r="V312" i="2"/>
  <c r="X312" i="2"/>
  <c r="X329" i="2" s="1"/>
  <c r="AB312" i="2"/>
  <c r="AC312" i="2"/>
  <c r="D313" i="2"/>
  <c r="E313" i="2"/>
  <c r="S313" i="2"/>
  <c r="T313" i="2"/>
  <c r="H314" i="2"/>
  <c r="J314" i="2"/>
  <c r="W314" i="2"/>
  <c r="Y314" i="2"/>
  <c r="AD314" i="2"/>
  <c r="C329" i="2"/>
  <c r="C354" i="2" s="1"/>
  <c r="D329" i="2"/>
  <c r="E329" i="2"/>
  <c r="H329" i="2"/>
  <c r="J329" i="2"/>
  <c r="S329" i="2"/>
  <c r="T329" i="2"/>
  <c r="W329" i="2"/>
  <c r="W331" i="2" s="1"/>
  <c r="Y329" i="2"/>
  <c r="AA329" i="2"/>
  <c r="F334" i="2"/>
  <c r="K334" i="2"/>
  <c r="P334" i="2"/>
  <c r="U334" i="2"/>
  <c r="Z334" i="2"/>
  <c r="D335" i="2"/>
  <c r="E335" i="2"/>
  <c r="I335" i="2"/>
  <c r="J335" i="2"/>
  <c r="N335" i="2"/>
  <c r="O335" i="2"/>
  <c r="S335" i="2"/>
  <c r="T335" i="2"/>
  <c r="X335" i="2"/>
  <c r="Y335" i="2"/>
  <c r="AC335" i="2"/>
  <c r="AD335" i="2"/>
  <c r="G336" i="2"/>
  <c r="H336" i="2"/>
  <c r="I336" i="2"/>
  <c r="J336" i="2"/>
  <c r="L336" i="2"/>
  <c r="M336" i="2"/>
  <c r="N336" i="2"/>
  <c r="O336" i="2"/>
  <c r="Q336" i="2"/>
  <c r="R336" i="2"/>
  <c r="S336" i="2"/>
  <c r="T336" i="2"/>
  <c r="V336" i="2"/>
  <c r="W336" i="2"/>
  <c r="X336" i="2"/>
  <c r="Y336" i="2"/>
  <c r="AA336" i="2"/>
  <c r="AB336" i="2"/>
  <c r="AC336" i="2"/>
  <c r="AD336" i="2"/>
  <c r="B337" i="2"/>
  <c r="G337" i="2"/>
  <c r="F337" i="2" s="1"/>
  <c r="F338" i="2" s="1"/>
  <c r="K337" i="2"/>
  <c r="M338" i="2" s="1"/>
  <c r="Q337" i="2"/>
  <c r="V339" i="2" s="1"/>
  <c r="U337" i="2"/>
  <c r="AA337" i="2"/>
  <c r="AA339" i="2" s="1"/>
  <c r="D338" i="2"/>
  <c r="E338" i="2"/>
  <c r="I338" i="2"/>
  <c r="J338" i="2"/>
  <c r="N338" i="2"/>
  <c r="O338" i="2"/>
  <c r="P338" i="2"/>
  <c r="R338" i="2"/>
  <c r="S338" i="2"/>
  <c r="T338" i="2"/>
  <c r="X338" i="2"/>
  <c r="Y338" i="2"/>
  <c r="AC338" i="2"/>
  <c r="AD338" i="2"/>
  <c r="H339" i="2"/>
  <c r="I339" i="2"/>
  <c r="J339" i="2"/>
  <c r="M339" i="2"/>
  <c r="N339" i="2"/>
  <c r="O339" i="2"/>
  <c r="R339" i="2"/>
  <c r="S339" i="2"/>
  <c r="T339" i="2"/>
  <c r="W339" i="2"/>
  <c r="X339" i="2"/>
  <c r="Y339" i="2"/>
  <c r="AB339" i="2"/>
  <c r="AC339" i="2"/>
  <c r="AD339" i="2"/>
  <c r="S341" i="2"/>
  <c r="H342" i="2"/>
  <c r="J342" i="2"/>
  <c r="W342" i="2"/>
  <c r="AB342" i="2"/>
  <c r="AD342" i="2"/>
  <c r="C343" i="2"/>
  <c r="R343" i="2"/>
  <c r="W343" i="2"/>
  <c r="W348" i="2" s="1"/>
  <c r="Y343" i="2"/>
  <c r="AD345" i="2" s="1"/>
  <c r="AA343" i="2"/>
  <c r="AB343" i="2"/>
  <c r="J345" i="2"/>
  <c r="E348" i="2"/>
  <c r="H348" i="2"/>
  <c r="J348" i="2"/>
  <c r="S348" i="2"/>
  <c r="C352" i="2"/>
  <c r="D352" i="2"/>
  <c r="E352" i="2"/>
  <c r="S352" i="2"/>
  <c r="V352" i="2"/>
  <c r="X352" i="2"/>
  <c r="C353" i="2"/>
  <c r="D353" i="2"/>
  <c r="E353" i="2"/>
  <c r="S353" i="2"/>
  <c r="V353" i="2"/>
  <c r="X353" i="2"/>
  <c r="D360" i="2"/>
  <c r="E360" i="2"/>
  <c r="I360" i="2"/>
  <c r="J360" i="2"/>
  <c r="N360" i="2"/>
  <c r="O360" i="2"/>
  <c r="S360" i="2"/>
  <c r="T360" i="2"/>
  <c r="X360" i="2"/>
  <c r="Y360" i="2"/>
  <c r="AC360" i="2"/>
  <c r="AD360" i="2"/>
  <c r="G361" i="2"/>
  <c r="H361" i="2"/>
  <c r="I361" i="2"/>
  <c r="J361" i="2"/>
  <c r="L361" i="2"/>
  <c r="M361" i="2"/>
  <c r="N361" i="2"/>
  <c r="O361" i="2"/>
  <c r="Q361" i="2"/>
  <c r="R361" i="2"/>
  <c r="S361" i="2"/>
  <c r="T361" i="2"/>
  <c r="V361" i="2"/>
  <c r="W361" i="2"/>
  <c r="X361" i="2"/>
  <c r="Y361" i="2"/>
  <c r="AA361" i="2"/>
  <c r="AB361" i="2"/>
  <c r="AC361" i="2"/>
  <c r="AD361" i="2"/>
  <c r="K376" i="2"/>
  <c r="P376" i="2"/>
  <c r="U376" i="2"/>
  <c r="U377" i="2" s="1"/>
  <c r="Z376" i="2"/>
  <c r="AB377" i="2" s="1"/>
  <c r="AE376" i="2"/>
  <c r="I377" i="2"/>
  <c r="J377" i="2"/>
  <c r="N377" i="2"/>
  <c r="O377" i="2"/>
  <c r="S377" i="2"/>
  <c r="T377" i="2"/>
  <c r="X377" i="2"/>
  <c r="Y377" i="2"/>
  <c r="AC377" i="2"/>
  <c r="G378" i="2"/>
  <c r="L378" i="2"/>
  <c r="M378" i="2"/>
  <c r="N378" i="2"/>
  <c r="O378" i="2"/>
  <c r="Q378" i="2"/>
  <c r="R378" i="2"/>
  <c r="S378" i="2"/>
  <c r="T378" i="2"/>
  <c r="V378" i="2"/>
  <c r="W378" i="2"/>
  <c r="X378" i="2"/>
  <c r="Y378" i="2"/>
  <c r="AA378" i="2"/>
  <c r="AB378" i="2"/>
  <c r="AD378" i="2"/>
  <c r="F396" i="2"/>
  <c r="H397" i="2" s="1"/>
  <c r="K396" i="2"/>
  <c r="P396" i="2"/>
  <c r="U396" i="2"/>
  <c r="W397" i="2" s="1"/>
  <c r="Z396" i="2"/>
  <c r="D397" i="2"/>
  <c r="E397" i="2"/>
  <c r="I397" i="2"/>
  <c r="J397" i="2"/>
  <c r="N397" i="2"/>
  <c r="O397" i="2"/>
  <c r="S397" i="2"/>
  <c r="T397" i="2"/>
  <c r="X397" i="2"/>
  <c r="Y397" i="2"/>
  <c r="G398" i="2"/>
  <c r="H398" i="2"/>
  <c r="I398" i="2"/>
  <c r="J398" i="2"/>
  <c r="L398" i="2"/>
  <c r="M398" i="2"/>
  <c r="N398" i="2"/>
  <c r="O398" i="2"/>
  <c r="Q398" i="2"/>
  <c r="R398" i="2"/>
  <c r="S398" i="2"/>
  <c r="T398" i="2"/>
  <c r="V398" i="2"/>
  <c r="W398" i="2"/>
  <c r="X398" i="2"/>
  <c r="Y398" i="2"/>
  <c r="AA398" i="2"/>
  <c r="AB398" i="2"/>
  <c r="AD398" i="2"/>
  <c r="F399" i="2"/>
  <c r="H400" i="2" s="1"/>
  <c r="K399" i="2"/>
  <c r="P399" i="2"/>
  <c r="R400" i="2" s="1"/>
  <c r="U399" i="2"/>
  <c r="Z399" i="2"/>
  <c r="D400" i="2"/>
  <c r="E400" i="2"/>
  <c r="I400" i="2"/>
  <c r="J400" i="2"/>
  <c r="N400" i="2"/>
  <c r="O400" i="2"/>
  <c r="S400" i="2"/>
  <c r="T400" i="2"/>
  <c r="X400" i="2"/>
  <c r="Y400" i="2"/>
  <c r="AC400" i="2"/>
  <c r="AD400" i="2"/>
  <c r="G401" i="2"/>
  <c r="H401" i="2"/>
  <c r="I401" i="2"/>
  <c r="J401" i="2"/>
  <c r="L401" i="2"/>
  <c r="M401" i="2"/>
  <c r="N401" i="2"/>
  <c r="O401" i="2"/>
  <c r="Q401" i="2"/>
  <c r="R401" i="2"/>
  <c r="S401" i="2"/>
  <c r="T401" i="2"/>
  <c r="V401" i="2"/>
  <c r="W401" i="2"/>
  <c r="X401" i="2"/>
  <c r="Y401" i="2"/>
  <c r="AA401" i="2"/>
  <c r="AB401" i="2"/>
  <c r="AC401" i="2"/>
  <c r="AD401" i="2"/>
  <c r="K373" i="2"/>
  <c r="P373" i="2"/>
  <c r="P374" i="2" s="1"/>
  <c r="U373" i="2"/>
  <c r="W374" i="2" s="1"/>
  <c r="Z373" i="2"/>
  <c r="AB374" i="2" s="1"/>
  <c r="I374" i="2"/>
  <c r="J374" i="2"/>
  <c r="N374" i="2"/>
  <c r="O374" i="2"/>
  <c r="S374" i="2"/>
  <c r="T374" i="2"/>
  <c r="X374" i="2"/>
  <c r="Y374" i="2"/>
  <c r="AC374" i="2"/>
  <c r="AD374" i="2"/>
  <c r="G375" i="2"/>
  <c r="L375" i="2"/>
  <c r="M375" i="2"/>
  <c r="N375" i="2"/>
  <c r="O375" i="2"/>
  <c r="Q375" i="2"/>
  <c r="R375" i="2"/>
  <c r="S375" i="2"/>
  <c r="T375" i="2"/>
  <c r="V375" i="2"/>
  <c r="W375" i="2"/>
  <c r="X375" i="2"/>
  <c r="Y375" i="2"/>
  <c r="AA375" i="2"/>
  <c r="AB375" i="2"/>
  <c r="AC375" i="2"/>
  <c r="AD375" i="2"/>
  <c r="K379" i="2"/>
  <c r="M380" i="2" s="1"/>
  <c r="P379" i="2"/>
  <c r="U379" i="2"/>
  <c r="W380" i="2" s="1"/>
  <c r="Z379" i="2"/>
  <c r="I380" i="2"/>
  <c r="J380" i="2"/>
  <c r="N380" i="2"/>
  <c r="O380" i="2"/>
  <c r="S380" i="2"/>
  <c r="T380" i="2"/>
  <c r="X380" i="2"/>
  <c r="Y380" i="2"/>
  <c r="AC380" i="2"/>
  <c r="AD380" i="2"/>
  <c r="G381" i="2"/>
  <c r="L381" i="2"/>
  <c r="M381" i="2"/>
  <c r="N381" i="2"/>
  <c r="O381" i="2"/>
  <c r="Q381" i="2"/>
  <c r="R381" i="2"/>
  <c r="S381" i="2"/>
  <c r="T381" i="2"/>
  <c r="V381" i="2"/>
  <c r="W381" i="2"/>
  <c r="X381" i="2"/>
  <c r="Y381" i="2"/>
  <c r="AA381" i="2"/>
  <c r="AB381" i="2"/>
  <c r="AC381" i="2"/>
  <c r="AD381" i="2"/>
  <c r="K382" i="2"/>
  <c r="P382" i="2"/>
  <c r="I383" i="2"/>
  <c r="J383" i="2"/>
  <c r="N383" i="2"/>
  <c r="O383" i="2"/>
  <c r="S383" i="2"/>
  <c r="T383" i="2"/>
  <c r="X383" i="2"/>
  <c r="Y383" i="2"/>
  <c r="G384" i="2"/>
  <c r="L384" i="2"/>
  <c r="M384" i="2"/>
  <c r="N384" i="2"/>
  <c r="O384" i="2"/>
  <c r="Q384" i="2"/>
  <c r="R384" i="2"/>
  <c r="S384" i="2"/>
  <c r="T384" i="2"/>
  <c r="W384" i="2"/>
  <c r="X384" i="2"/>
  <c r="Y384" i="2"/>
  <c r="AB384" i="2"/>
  <c r="B385" i="2"/>
  <c r="B402" i="2" s="1"/>
  <c r="B428" i="2" s="1"/>
  <c r="D385" i="2"/>
  <c r="E385" i="2"/>
  <c r="E402" i="2" s="1"/>
  <c r="G385" i="2"/>
  <c r="H385" i="2"/>
  <c r="H387" i="2" s="1"/>
  <c r="I385" i="2"/>
  <c r="I402" i="2" s="1"/>
  <c r="J385" i="2"/>
  <c r="L385" i="2"/>
  <c r="M385" i="2"/>
  <c r="N386" i="2" s="1"/>
  <c r="Q385" i="2"/>
  <c r="R385" i="2"/>
  <c r="S385" i="2"/>
  <c r="T385" i="2"/>
  <c r="T387" i="2" s="1"/>
  <c r="V385" i="2"/>
  <c r="W385" i="2"/>
  <c r="X385" i="2"/>
  <c r="Y385" i="2"/>
  <c r="Y387" i="2" s="1"/>
  <c r="AA385" i="2"/>
  <c r="AA402" i="2" s="1"/>
  <c r="AB385" i="2"/>
  <c r="AC385" i="2"/>
  <c r="AC402" i="2" s="1"/>
  <c r="AC428" i="2" s="1"/>
  <c r="AD385" i="2"/>
  <c r="O386" i="2"/>
  <c r="C402" i="2"/>
  <c r="C428" i="2" s="1"/>
  <c r="N402" i="2"/>
  <c r="O402" i="2"/>
  <c r="O428" i="2" s="1"/>
  <c r="F408" i="2"/>
  <c r="H408" i="2"/>
  <c r="I409" i="2" s="1"/>
  <c r="L408" i="2"/>
  <c r="L410" i="2" s="1"/>
  <c r="M408" i="2"/>
  <c r="N408" i="2"/>
  <c r="O409" i="2" s="1"/>
  <c r="Q408" i="2"/>
  <c r="R408" i="2"/>
  <c r="S408" i="2"/>
  <c r="T408" i="2"/>
  <c r="V408" i="2"/>
  <c r="V410" i="2" s="1"/>
  <c r="W408" i="2"/>
  <c r="X408" i="2"/>
  <c r="X410" i="2" s="1"/>
  <c r="Y408" i="2"/>
  <c r="AA408" i="2"/>
  <c r="AA410" i="2" s="1"/>
  <c r="AB408" i="2"/>
  <c r="AC408" i="2"/>
  <c r="AC410" i="2" s="1"/>
  <c r="AD408" i="2"/>
  <c r="AD410" i="2" s="1"/>
  <c r="D409" i="2"/>
  <c r="E409" i="2"/>
  <c r="J409" i="2"/>
  <c r="G410" i="2"/>
  <c r="I410" i="2"/>
  <c r="J410" i="2"/>
  <c r="O410" i="2"/>
  <c r="B411" i="2"/>
  <c r="G413" i="2" s="1"/>
  <c r="F411" i="2"/>
  <c r="K411" i="2"/>
  <c r="K412" i="2" s="1"/>
  <c r="U411" i="2"/>
  <c r="U413" i="2" s="1"/>
  <c r="Z411" i="2"/>
  <c r="D412" i="2"/>
  <c r="E412" i="2"/>
  <c r="I412" i="2"/>
  <c r="J412" i="2"/>
  <c r="N412" i="2"/>
  <c r="O412" i="2"/>
  <c r="P412" i="2"/>
  <c r="R412" i="2"/>
  <c r="S412" i="2"/>
  <c r="T412" i="2"/>
  <c r="X412" i="2"/>
  <c r="Y412" i="2"/>
  <c r="AC412" i="2"/>
  <c r="AD412" i="2"/>
  <c r="H413" i="2"/>
  <c r="I413" i="2"/>
  <c r="J413" i="2"/>
  <c r="L413" i="2"/>
  <c r="M413" i="2"/>
  <c r="N413" i="2"/>
  <c r="O413" i="2"/>
  <c r="Q413" i="2"/>
  <c r="R413" i="2"/>
  <c r="S413" i="2"/>
  <c r="T413" i="2"/>
  <c r="V413" i="2"/>
  <c r="W413" i="2"/>
  <c r="X413" i="2"/>
  <c r="Y413" i="2"/>
  <c r="AA413" i="2"/>
  <c r="AB413" i="2"/>
  <c r="AC413" i="2"/>
  <c r="AD413" i="2"/>
  <c r="C417" i="2"/>
  <c r="D417" i="2"/>
  <c r="D422" i="2" s="1"/>
  <c r="B426" i="2"/>
  <c r="C426" i="2"/>
  <c r="D426" i="2"/>
  <c r="E426" i="2"/>
  <c r="G426" i="2"/>
  <c r="H426" i="2"/>
  <c r="I426" i="2"/>
  <c r="J426" i="2"/>
  <c r="L426" i="2"/>
  <c r="M426" i="2"/>
  <c r="N426" i="2"/>
  <c r="O426" i="2"/>
  <c r="Q426" i="2"/>
  <c r="R426" i="2"/>
  <c r="S426" i="2"/>
  <c r="T426" i="2"/>
  <c r="V426" i="2"/>
  <c r="W426" i="2"/>
  <c r="X426" i="2"/>
  <c r="Y426" i="2"/>
  <c r="AA426" i="2"/>
  <c r="AB426" i="2"/>
  <c r="AC426" i="2"/>
  <c r="AD426" i="2"/>
  <c r="B427" i="2"/>
  <c r="C427" i="2"/>
  <c r="D427" i="2"/>
  <c r="E427" i="2"/>
  <c r="G427" i="2"/>
  <c r="H427" i="2"/>
  <c r="I427" i="2"/>
  <c r="J427" i="2"/>
  <c r="L427" i="2"/>
  <c r="M427" i="2"/>
  <c r="N427" i="2"/>
  <c r="O427" i="2"/>
  <c r="Q427" i="2"/>
  <c r="R427" i="2"/>
  <c r="S427" i="2"/>
  <c r="T427" i="2"/>
  <c r="V427" i="2"/>
  <c r="W427" i="2"/>
  <c r="X427" i="2"/>
  <c r="Y427" i="2"/>
  <c r="AA427" i="2"/>
  <c r="AB427" i="2"/>
  <c r="AC427" i="2"/>
  <c r="AD427" i="2"/>
  <c r="D435" i="2"/>
  <c r="E435" i="2"/>
  <c r="I435" i="2"/>
  <c r="J435" i="2"/>
  <c r="N435" i="2"/>
  <c r="O435" i="2"/>
  <c r="S435" i="2"/>
  <c r="T435" i="2"/>
  <c r="X435" i="2"/>
  <c r="Y435" i="2"/>
  <c r="AC435" i="2"/>
  <c r="AD435" i="2"/>
  <c r="G436" i="2"/>
  <c r="H436" i="2"/>
  <c r="I436" i="2"/>
  <c r="J436" i="2"/>
  <c r="L436" i="2"/>
  <c r="M436" i="2"/>
  <c r="N436" i="2"/>
  <c r="O436" i="2"/>
  <c r="Q436" i="2"/>
  <c r="R436" i="2"/>
  <c r="S436" i="2"/>
  <c r="T436" i="2"/>
  <c r="V436" i="2"/>
  <c r="W436" i="2"/>
  <c r="X436" i="2"/>
  <c r="Y436" i="2"/>
  <c r="AB436" i="2"/>
  <c r="AC436" i="2"/>
  <c r="AD436" i="2"/>
  <c r="K449" i="2"/>
  <c r="P449" i="2"/>
  <c r="U449" i="2"/>
  <c r="Z449" i="2"/>
  <c r="I450" i="2"/>
  <c r="J450" i="2"/>
  <c r="N450" i="2"/>
  <c r="O450" i="2"/>
  <c r="S450" i="2"/>
  <c r="T450" i="2"/>
  <c r="X450" i="2"/>
  <c r="Y450" i="2"/>
  <c r="G451" i="2"/>
  <c r="L451" i="2"/>
  <c r="M451" i="2"/>
  <c r="N451" i="2"/>
  <c r="O451" i="2"/>
  <c r="Q451" i="2"/>
  <c r="R451" i="2"/>
  <c r="S451" i="2"/>
  <c r="T451" i="2"/>
  <c r="V451" i="2"/>
  <c r="W451" i="2"/>
  <c r="X451" i="2"/>
  <c r="Y451" i="2"/>
  <c r="AA451" i="2"/>
  <c r="F462" i="2"/>
  <c r="K462" i="2"/>
  <c r="K463" i="2" s="1"/>
  <c r="P462" i="2"/>
  <c r="Z462" i="2"/>
  <c r="D463" i="2"/>
  <c r="E463" i="2"/>
  <c r="I463" i="2"/>
  <c r="J463" i="2"/>
  <c r="N463" i="2"/>
  <c r="O463" i="2"/>
  <c r="S463" i="2"/>
  <c r="T463" i="2"/>
  <c r="U463" i="2"/>
  <c r="W463" i="2"/>
  <c r="X463" i="2"/>
  <c r="Y463" i="2"/>
  <c r="G464" i="2"/>
  <c r="H464" i="2"/>
  <c r="I464" i="2"/>
  <c r="J464" i="2"/>
  <c r="L464" i="2"/>
  <c r="M464" i="2"/>
  <c r="N464" i="2"/>
  <c r="O464" i="2"/>
  <c r="Q464" i="2"/>
  <c r="R464" i="2"/>
  <c r="S464" i="2"/>
  <c r="T464" i="2"/>
  <c r="V464" i="2"/>
  <c r="W464" i="2"/>
  <c r="X464" i="2"/>
  <c r="Y464" i="2"/>
  <c r="AB464" i="2"/>
  <c r="F471" i="2"/>
  <c r="H472" i="2" s="1"/>
  <c r="K471" i="2"/>
  <c r="P471" i="2"/>
  <c r="P472" i="2" s="1"/>
  <c r="U471" i="2"/>
  <c r="Z471" i="2"/>
  <c r="D472" i="2"/>
  <c r="E472" i="2"/>
  <c r="I472" i="2"/>
  <c r="J472" i="2"/>
  <c r="N472" i="2"/>
  <c r="O472" i="2"/>
  <c r="S472" i="2"/>
  <c r="T472" i="2"/>
  <c r="X472" i="2"/>
  <c r="Y472" i="2"/>
  <c r="AC472" i="2"/>
  <c r="AD472" i="2"/>
  <c r="G473" i="2"/>
  <c r="H473" i="2"/>
  <c r="I473" i="2"/>
  <c r="J473" i="2"/>
  <c r="L473" i="2"/>
  <c r="M473" i="2"/>
  <c r="N473" i="2"/>
  <c r="O473" i="2"/>
  <c r="Q473" i="2"/>
  <c r="R473" i="2"/>
  <c r="S473" i="2"/>
  <c r="T473" i="2"/>
  <c r="V473" i="2"/>
  <c r="W473" i="2"/>
  <c r="X473" i="2"/>
  <c r="Y473" i="2"/>
  <c r="AB473" i="2"/>
  <c r="AC473" i="2"/>
  <c r="AD473" i="2"/>
  <c r="K446" i="2"/>
  <c r="P446" i="2"/>
  <c r="U446" i="2"/>
  <c r="Z446" i="2"/>
  <c r="I447" i="2"/>
  <c r="J447" i="2"/>
  <c r="N447" i="2"/>
  <c r="O447" i="2"/>
  <c r="S447" i="2"/>
  <c r="T447" i="2"/>
  <c r="X447" i="2"/>
  <c r="Y447" i="2"/>
  <c r="G448" i="2"/>
  <c r="L448" i="2"/>
  <c r="M448" i="2"/>
  <c r="N448" i="2"/>
  <c r="O448" i="2"/>
  <c r="Q448" i="2"/>
  <c r="R448" i="2"/>
  <c r="S448" i="2"/>
  <c r="T448" i="2"/>
  <c r="V448" i="2"/>
  <c r="W448" i="2"/>
  <c r="X448" i="2"/>
  <c r="Y448" i="2"/>
  <c r="AA448" i="2"/>
  <c r="K452" i="2"/>
  <c r="P452" i="2"/>
  <c r="U452" i="2"/>
  <c r="Z452" i="2"/>
  <c r="I453" i="2"/>
  <c r="J453" i="2"/>
  <c r="N453" i="2"/>
  <c r="O453" i="2"/>
  <c r="S453" i="2"/>
  <c r="T453" i="2"/>
  <c r="X453" i="2"/>
  <c r="Y453" i="2"/>
  <c r="AC453" i="2"/>
  <c r="AD453" i="2"/>
  <c r="G454" i="2"/>
  <c r="L454" i="2"/>
  <c r="M454" i="2"/>
  <c r="N454" i="2"/>
  <c r="O454" i="2"/>
  <c r="Q454" i="2"/>
  <c r="R454" i="2"/>
  <c r="S454" i="2"/>
  <c r="T454" i="2"/>
  <c r="V454" i="2"/>
  <c r="W454" i="2"/>
  <c r="X454" i="2"/>
  <c r="Y454" i="2"/>
  <c r="AA454" i="2"/>
  <c r="AB454" i="2"/>
  <c r="AC454" i="2"/>
  <c r="AD454" i="2"/>
  <c r="K455" i="2"/>
  <c r="P455" i="2"/>
  <c r="U455" i="2"/>
  <c r="Z455" i="2"/>
  <c r="I456" i="2"/>
  <c r="J456" i="2"/>
  <c r="N456" i="2"/>
  <c r="O456" i="2"/>
  <c r="S456" i="2"/>
  <c r="T456" i="2"/>
  <c r="X456" i="2"/>
  <c r="Y456" i="2"/>
  <c r="G457" i="2"/>
  <c r="L457" i="2"/>
  <c r="M457" i="2"/>
  <c r="N457" i="2"/>
  <c r="O457" i="2"/>
  <c r="Q457" i="2"/>
  <c r="R457" i="2"/>
  <c r="S457" i="2"/>
  <c r="T457" i="2"/>
  <c r="V457" i="2"/>
  <c r="W457" i="2"/>
  <c r="X457" i="2"/>
  <c r="Y457" i="2"/>
  <c r="AA457" i="2"/>
  <c r="F437" i="2"/>
  <c r="K437" i="2"/>
  <c r="P437" i="2"/>
  <c r="P438" i="2" s="1"/>
  <c r="U437" i="2"/>
  <c r="Z437" i="2"/>
  <c r="AB438" i="2" s="1"/>
  <c r="D438" i="2"/>
  <c r="E438" i="2"/>
  <c r="I438" i="2"/>
  <c r="J438" i="2"/>
  <c r="N438" i="2"/>
  <c r="O438" i="2"/>
  <c r="S438" i="2"/>
  <c r="T438" i="2"/>
  <c r="X438" i="2"/>
  <c r="Y438" i="2"/>
  <c r="AC438" i="2"/>
  <c r="AD438" i="2"/>
  <c r="G439" i="2"/>
  <c r="H439" i="2"/>
  <c r="I439" i="2"/>
  <c r="J439" i="2"/>
  <c r="L439" i="2"/>
  <c r="M439" i="2"/>
  <c r="N439" i="2"/>
  <c r="O439" i="2"/>
  <c r="Q439" i="2"/>
  <c r="R439" i="2"/>
  <c r="S439" i="2"/>
  <c r="T439" i="2"/>
  <c r="V439" i="2"/>
  <c r="W439" i="2"/>
  <c r="X439" i="2"/>
  <c r="Y439" i="2"/>
  <c r="AB439" i="2"/>
  <c r="AC439" i="2"/>
  <c r="AD439" i="2"/>
  <c r="B474" i="2"/>
  <c r="B501" i="2" s="1"/>
  <c r="C474" i="2"/>
  <c r="D474" i="2"/>
  <c r="D501" i="2" s="1"/>
  <c r="E474" i="2"/>
  <c r="G474" i="2"/>
  <c r="G501" i="2" s="1"/>
  <c r="H474" i="2"/>
  <c r="I474" i="2"/>
  <c r="I501" i="2" s="1"/>
  <c r="J474" i="2"/>
  <c r="J501" i="2" s="1"/>
  <c r="L474" i="2"/>
  <c r="L501" i="2" s="1"/>
  <c r="M474" i="2"/>
  <c r="M501" i="2" s="1"/>
  <c r="N474" i="2"/>
  <c r="O474" i="2"/>
  <c r="O476" i="2" s="1"/>
  <c r="Q474" i="2"/>
  <c r="Q501" i="2" s="1"/>
  <c r="R474" i="2"/>
  <c r="S474" i="2"/>
  <c r="T474" i="2"/>
  <c r="T476" i="2" s="1"/>
  <c r="V474" i="2"/>
  <c r="V501" i="2" s="1"/>
  <c r="X474" i="2"/>
  <c r="Y474" i="2"/>
  <c r="Y501" i="2" s="1"/>
  <c r="W475" i="2"/>
  <c r="F480" i="2"/>
  <c r="H481" i="2" s="1"/>
  <c r="K480" i="2"/>
  <c r="P480" i="2"/>
  <c r="U480" i="2"/>
  <c r="W481" i="2" s="1"/>
  <c r="Z480" i="2"/>
  <c r="D481" i="2"/>
  <c r="E481" i="2"/>
  <c r="I481" i="2"/>
  <c r="J481" i="2"/>
  <c r="N481" i="2"/>
  <c r="O481" i="2"/>
  <c r="S481" i="2"/>
  <c r="T481" i="2"/>
  <c r="X481" i="2"/>
  <c r="Y481" i="2"/>
  <c r="AC481" i="2"/>
  <c r="AD481" i="2"/>
  <c r="G482" i="2"/>
  <c r="H482" i="2"/>
  <c r="I482" i="2"/>
  <c r="J482" i="2"/>
  <c r="L482" i="2"/>
  <c r="M482" i="2"/>
  <c r="N482" i="2"/>
  <c r="O482" i="2"/>
  <c r="Q482" i="2"/>
  <c r="R482" i="2"/>
  <c r="S482" i="2"/>
  <c r="T482" i="2"/>
  <c r="V482" i="2"/>
  <c r="W482" i="2"/>
  <c r="X482" i="2"/>
  <c r="Y482" i="2"/>
  <c r="AB482" i="2"/>
  <c r="AC482" i="2"/>
  <c r="AD482" i="2"/>
  <c r="F483" i="2"/>
  <c r="K483" i="2"/>
  <c r="K484" i="2" s="1"/>
  <c r="Q483" i="2"/>
  <c r="V483" i="2"/>
  <c r="U483" i="2" s="1"/>
  <c r="U484" i="2" s="1"/>
  <c r="Z483" i="2"/>
  <c r="AB484" i="2" s="1"/>
  <c r="D484" i="2"/>
  <c r="E484" i="2"/>
  <c r="I484" i="2"/>
  <c r="J484" i="2"/>
  <c r="N484" i="2"/>
  <c r="O484" i="2"/>
  <c r="S484" i="2"/>
  <c r="T484" i="2"/>
  <c r="X484" i="2"/>
  <c r="Y484" i="2"/>
  <c r="AC484" i="2"/>
  <c r="AD484" i="2"/>
  <c r="G485" i="2"/>
  <c r="H485" i="2"/>
  <c r="I485" i="2"/>
  <c r="J485" i="2"/>
  <c r="L485" i="2"/>
  <c r="M485" i="2"/>
  <c r="N485" i="2"/>
  <c r="O485" i="2"/>
  <c r="R485" i="2"/>
  <c r="S485" i="2"/>
  <c r="T485" i="2"/>
  <c r="W485" i="2"/>
  <c r="X485" i="2"/>
  <c r="Y485" i="2"/>
  <c r="AB485" i="2"/>
  <c r="AC485" i="2"/>
  <c r="AD485" i="2"/>
  <c r="D489" i="2"/>
  <c r="C494" i="2"/>
  <c r="I494" i="2"/>
  <c r="B499" i="2"/>
  <c r="C499" i="2"/>
  <c r="D499" i="2"/>
  <c r="E499" i="2"/>
  <c r="G499" i="2"/>
  <c r="H499" i="2"/>
  <c r="I499" i="2"/>
  <c r="J499" i="2"/>
  <c r="L499" i="2"/>
  <c r="M499" i="2"/>
  <c r="N499" i="2"/>
  <c r="O499" i="2"/>
  <c r="Q499" i="2"/>
  <c r="R499" i="2"/>
  <c r="S499" i="2"/>
  <c r="T499" i="2"/>
  <c r="V499" i="2"/>
  <c r="W499" i="2"/>
  <c r="X499" i="2"/>
  <c r="Y499" i="2"/>
  <c r="AA499" i="2"/>
  <c r="AB499" i="2"/>
  <c r="B500" i="2"/>
  <c r="C500" i="2"/>
  <c r="D500" i="2"/>
  <c r="E500" i="2"/>
  <c r="G500" i="2"/>
  <c r="H500" i="2"/>
  <c r="I500" i="2"/>
  <c r="J500" i="2"/>
  <c r="L500" i="2"/>
  <c r="M500" i="2"/>
  <c r="N500" i="2"/>
  <c r="O500" i="2"/>
  <c r="Q500" i="2"/>
  <c r="R500" i="2"/>
  <c r="S500" i="2"/>
  <c r="T500" i="2"/>
  <c r="V500" i="2"/>
  <c r="W500" i="2"/>
  <c r="X500" i="2"/>
  <c r="Y500" i="2"/>
  <c r="AB500" i="2"/>
  <c r="AC500" i="2"/>
  <c r="AD500" i="2"/>
  <c r="W501" i="2"/>
  <c r="AE338" i="2"/>
  <c r="AC499" i="2"/>
  <c r="AC398" i="2"/>
  <c r="AD397" i="2"/>
  <c r="AC378" i="2"/>
  <c r="AD377" i="2"/>
  <c r="AD218" i="2"/>
  <c r="AC397" i="2"/>
  <c r="AC463" i="2"/>
  <c r="AC464" i="2"/>
  <c r="AD348" i="2"/>
  <c r="AE412" i="2"/>
  <c r="AD474" i="2"/>
  <c r="AD499" i="2"/>
  <c r="AD464" i="2"/>
  <c r="AD463" i="2"/>
  <c r="AE344" i="2"/>
  <c r="AE462" i="2"/>
  <c r="AE481" i="2"/>
  <c r="AE396" i="2"/>
  <c r="AC218" i="2"/>
  <c r="AE217" i="2"/>
  <c r="K16" i="3"/>
  <c r="L32" i="7" l="1"/>
  <c r="Q32" i="7"/>
  <c r="AC489" i="2"/>
  <c r="U501" i="2"/>
  <c r="H87" i="2"/>
  <c r="P70" i="3"/>
  <c r="H16" i="3"/>
  <c r="S488" i="2"/>
  <c r="K71" i="3"/>
  <c r="P17" i="3"/>
  <c r="W410" i="2"/>
  <c r="K17" i="3"/>
  <c r="M16" i="3"/>
  <c r="AD487" i="2"/>
  <c r="P71" i="3"/>
  <c r="AB417" i="2"/>
  <c r="O240" i="2"/>
  <c r="O245" i="2" s="1"/>
  <c r="R354" i="2"/>
  <c r="R353" i="2"/>
  <c r="N352" i="2"/>
  <c r="Y488" i="2"/>
  <c r="T417" i="2"/>
  <c r="T422" i="2" s="1"/>
  <c r="U487" i="2"/>
  <c r="O502" i="2"/>
  <c r="Q353" i="2"/>
  <c r="T489" i="2"/>
  <c r="T494" i="2" s="1"/>
  <c r="U495" i="2" s="1"/>
  <c r="Q287" i="2"/>
  <c r="T488" i="2"/>
  <c r="T287" i="2"/>
  <c r="P435" i="2"/>
  <c r="AD502" i="2"/>
  <c r="K123" i="2"/>
  <c r="W489" i="2"/>
  <c r="W494" i="2" s="1"/>
  <c r="W495" i="2" s="1"/>
  <c r="U500" i="2"/>
  <c r="I487" i="2"/>
  <c r="AA417" i="2"/>
  <c r="AA422" i="2" s="1"/>
  <c r="W487" i="2"/>
  <c r="Q489" i="2"/>
  <c r="Q494" i="2" s="1"/>
  <c r="U436" i="2"/>
  <c r="W435" i="2"/>
  <c r="U499" i="2"/>
  <c r="P499" i="2"/>
  <c r="U435" i="2"/>
  <c r="O342" i="2"/>
  <c r="W417" i="2"/>
  <c r="M360" i="2"/>
  <c r="R33" i="2"/>
  <c r="P124" i="2"/>
  <c r="AB21" i="2"/>
  <c r="Z123" i="2"/>
  <c r="AE123" i="2"/>
  <c r="U21" i="2"/>
  <c r="U123" i="2"/>
  <c r="Q170" i="2"/>
  <c r="Q125" i="2"/>
  <c r="AB94" i="2"/>
  <c r="AB126" i="2"/>
  <c r="R21" i="2"/>
  <c r="P123" i="2"/>
  <c r="AE124" i="2"/>
  <c r="I94" i="2"/>
  <c r="I126" i="2"/>
  <c r="N94" i="2"/>
  <c r="N99" i="2" s="1"/>
  <c r="N126" i="2"/>
  <c r="AC42" i="2"/>
  <c r="M42" i="2"/>
  <c r="Q94" i="2"/>
  <c r="Q99" i="2" s="1"/>
  <c r="AA94" i="2"/>
  <c r="AC279" i="2"/>
  <c r="S286" i="2"/>
  <c r="L417" i="2"/>
  <c r="AD42" i="2"/>
  <c r="R42" i="2"/>
  <c r="N42" i="2"/>
  <c r="AA42" i="2"/>
  <c r="G42" i="2"/>
  <c r="C94" i="2"/>
  <c r="C99" i="2" s="1"/>
  <c r="M94" i="2"/>
  <c r="M99" i="2" s="1"/>
  <c r="R94" i="2"/>
  <c r="R99" i="2" s="1"/>
  <c r="W94" i="2"/>
  <c r="W99" i="2" s="1"/>
  <c r="Q90" i="2"/>
  <c r="W353" i="2"/>
  <c r="W42" i="2"/>
  <c r="S42" i="2"/>
  <c r="O42" i="2"/>
  <c r="V42" i="2"/>
  <c r="S94" i="2"/>
  <c r="S99" i="2" s="1"/>
  <c r="X94" i="2"/>
  <c r="X99" i="2" s="1"/>
  <c r="AC94" i="2"/>
  <c r="AC99" i="2" s="1"/>
  <c r="Y42" i="2"/>
  <c r="L42" i="2"/>
  <c r="L94" i="2"/>
  <c r="L99" i="2" s="1"/>
  <c r="J487" i="2"/>
  <c r="V90" i="2"/>
  <c r="X286" i="2"/>
  <c r="O417" i="2"/>
  <c r="AC286" i="2"/>
  <c r="W287" i="2"/>
  <c r="AB42" i="2"/>
  <c r="J94" i="2"/>
  <c r="J99" i="2" s="1"/>
  <c r="O94" i="2"/>
  <c r="O99" i="2" s="1"/>
  <c r="T94" i="2"/>
  <c r="T99" i="2" s="1"/>
  <c r="Y94" i="2"/>
  <c r="Y99" i="2" s="1"/>
  <c r="AD94" i="2"/>
  <c r="H94" i="2"/>
  <c r="G488" i="2"/>
  <c r="W51" i="2"/>
  <c r="S287" i="2"/>
  <c r="N287" i="2"/>
  <c r="J489" i="2"/>
  <c r="J490" i="2" s="1"/>
  <c r="L354" i="2"/>
  <c r="AC238" i="2"/>
  <c r="L296" i="2"/>
  <c r="Y354" i="2"/>
  <c r="O488" i="2"/>
  <c r="H353" i="2"/>
  <c r="L352" i="2"/>
  <c r="T177" i="2"/>
  <c r="B353" i="2"/>
  <c r="X342" i="2"/>
  <c r="O487" i="2"/>
  <c r="AC90" i="2"/>
  <c r="N502" i="2"/>
  <c r="AC487" i="2"/>
  <c r="W280" i="2"/>
  <c r="Y429" i="2"/>
  <c r="O416" i="2"/>
  <c r="Y37" i="2"/>
  <c r="Z21" i="2"/>
  <c r="AE183" i="2"/>
  <c r="AE335" i="2"/>
  <c r="V384" i="2"/>
  <c r="L87" i="2"/>
  <c r="AB56" i="2"/>
  <c r="V387" i="2"/>
  <c r="AD415" i="2"/>
  <c r="Z59" i="2"/>
  <c r="R417" i="2"/>
  <c r="R422" i="2" s="1"/>
  <c r="W62" i="2"/>
  <c r="AC384" i="2"/>
  <c r="AC475" i="2"/>
  <c r="AB287" i="2"/>
  <c r="X237" i="2"/>
  <c r="AD38" i="2"/>
  <c r="V94" i="2"/>
  <c r="V99" i="2" s="1"/>
  <c r="AA90" i="2"/>
  <c r="T487" i="2"/>
  <c r="AD488" i="2"/>
  <c r="S415" i="2"/>
  <c r="N489" i="2"/>
  <c r="N494" i="2" s="1"/>
  <c r="N496" i="2" s="1"/>
  <c r="W352" i="2"/>
  <c r="S417" i="2"/>
  <c r="T418" i="2" s="1"/>
  <c r="R352" i="2"/>
  <c r="AB353" i="2"/>
  <c r="B417" i="2"/>
  <c r="B422" i="2" s="1"/>
  <c r="K427" i="2"/>
  <c r="AB303" i="2"/>
  <c r="AB305" i="2" s="1"/>
  <c r="AA238" i="2"/>
  <c r="O286" i="2"/>
  <c r="AE361" i="2"/>
  <c r="J177" i="2"/>
  <c r="F435" i="2"/>
  <c r="U27" i="2"/>
  <c r="J417" i="2"/>
  <c r="Y238" i="2"/>
  <c r="W204" i="2"/>
  <c r="J341" i="2"/>
  <c r="I343" i="2"/>
  <c r="I344" i="2" s="1"/>
  <c r="I279" i="2"/>
  <c r="N177" i="2"/>
  <c r="W178" i="2"/>
  <c r="AA416" i="2"/>
  <c r="H178" i="2"/>
  <c r="AC237" i="2"/>
  <c r="O352" i="2"/>
  <c r="L38" i="2"/>
  <c r="O353" i="2"/>
  <c r="AD429" i="2"/>
  <c r="L488" i="2"/>
  <c r="J178" i="2"/>
  <c r="Q298" i="2"/>
  <c r="Y352" i="2"/>
  <c r="AC287" i="2"/>
  <c r="T353" i="2"/>
  <c r="L298" i="2"/>
  <c r="T352" i="2"/>
  <c r="M90" i="2"/>
  <c r="AD37" i="2"/>
  <c r="J279" i="2"/>
  <c r="Q296" i="2"/>
  <c r="T286" i="2"/>
  <c r="Q416" i="2"/>
  <c r="P361" i="2"/>
  <c r="Y353" i="2"/>
  <c r="T415" i="2"/>
  <c r="H287" i="2"/>
  <c r="AA240" i="2"/>
  <c r="AA245" i="2" s="1"/>
  <c r="L353" i="2"/>
  <c r="L489" i="2"/>
  <c r="L491" i="2" s="1"/>
  <c r="AB457" i="2"/>
  <c r="Q352" i="2"/>
  <c r="X240" i="2"/>
  <c r="AC242" i="2" s="1"/>
  <c r="Z236" i="2"/>
  <c r="AB237" i="2" s="1"/>
  <c r="Y416" i="2"/>
  <c r="V287" i="2"/>
  <c r="W416" i="2"/>
  <c r="P428" i="2"/>
  <c r="H417" i="2"/>
  <c r="M419" i="2" s="1"/>
  <c r="P360" i="2"/>
  <c r="H354" i="2"/>
  <c r="H90" i="2"/>
  <c r="J278" i="2"/>
  <c r="N237" i="2"/>
  <c r="R38" i="2"/>
  <c r="W13" i="2"/>
  <c r="AE36" i="2"/>
  <c r="AE125" i="2" s="1"/>
  <c r="N37" i="2"/>
  <c r="L476" i="2"/>
  <c r="T416" i="2"/>
  <c r="Q488" i="2"/>
  <c r="Q417" i="2"/>
  <c r="Y286" i="2"/>
  <c r="H352" i="2"/>
  <c r="R90" i="2"/>
  <c r="Y287" i="2"/>
  <c r="H280" i="2"/>
  <c r="I286" i="2"/>
  <c r="O237" i="2"/>
  <c r="T238" i="2"/>
  <c r="Y178" i="2"/>
  <c r="Q342" i="2"/>
  <c r="R342" i="2"/>
  <c r="B352" i="2"/>
  <c r="Q343" i="2"/>
  <c r="Q348" i="2" s="1"/>
  <c r="N279" i="2"/>
  <c r="K176" i="2"/>
  <c r="K177" i="2" s="1"/>
  <c r="Y278" i="2"/>
  <c r="B354" i="2"/>
  <c r="I353" i="2"/>
  <c r="T343" i="2"/>
  <c r="T348" i="2" s="1"/>
  <c r="T349" i="2" s="1"/>
  <c r="I342" i="2"/>
  <c r="I178" i="2"/>
  <c r="I287" i="2"/>
  <c r="Y90" i="2"/>
  <c r="AB489" i="2"/>
  <c r="AB448" i="2"/>
  <c r="AE176" i="2"/>
  <c r="AE278" i="2" s="1"/>
  <c r="H238" i="2"/>
  <c r="AC177" i="2"/>
  <c r="N87" i="2"/>
  <c r="AD279" i="2"/>
  <c r="Z33" i="2"/>
  <c r="I177" i="2"/>
  <c r="AB183" i="2"/>
  <c r="Y237" i="2"/>
  <c r="Z341" i="2"/>
  <c r="D415" i="2"/>
  <c r="Z16" i="2"/>
  <c r="X343" i="2"/>
  <c r="X348" i="2" s="1"/>
  <c r="X350" i="2" s="1"/>
  <c r="AD416" i="2"/>
  <c r="L198" i="2"/>
  <c r="T90" i="2"/>
  <c r="I280" i="2"/>
  <c r="Q240" i="2"/>
  <c r="Q245" i="2" s="1"/>
  <c r="L342" i="2"/>
  <c r="AB279" i="2"/>
  <c r="AD280" i="2"/>
  <c r="L280" i="2"/>
  <c r="M238" i="2"/>
  <c r="AD287" i="2"/>
  <c r="M343" i="2"/>
  <c r="R345" i="2" s="1"/>
  <c r="E341" i="2"/>
  <c r="Y341" i="2"/>
  <c r="S178" i="2"/>
  <c r="L278" i="2"/>
  <c r="Y280" i="2"/>
  <c r="T280" i="2"/>
  <c r="Q238" i="2"/>
  <c r="AB238" i="2"/>
  <c r="Z88" i="2"/>
  <c r="AD89" i="2"/>
  <c r="W278" i="2"/>
  <c r="AB178" i="2"/>
  <c r="AD178" i="2"/>
  <c r="S219" i="2"/>
  <c r="K231" i="2"/>
  <c r="P236" i="2"/>
  <c r="R237" i="2" s="1"/>
  <c r="I352" i="2"/>
  <c r="AD353" i="2"/>
  <c r="D341" i="2"/>
  <c r="N278" i="2"/>
  <c r="AD286" i="2"/>
  <c r="T342" i="2"/>
  <c r="L196" i="2"/>
  <c r="L279" i="2"/>
  <c r="AB310" i="2"/>
  <c r="AE310" i="2"/>
  <c r="AE292" i="2"/>
  <c r="AB186" i="2"/>
  <c r="X89" i="2"/>
  <c r="AD177" i="2"/>
  <c r="AD278" i="2"/>
  <c r="AA219" i="2"/>
  <c r="V238" i="2"/>
  <c r="AD303" i="2"/>
  <c r="Y342" i="2"/>
  <c r="X341" i="2"/>
  <c r="I89" i="2"/>
  <c r="J415" i="2"/>
  <c r="M488" i="2"/>
  <c r="Y487" i="2"/>
  <c r="T402" i="2"/>
  <c r="T404" i="2" s="1"/>
  <c r="T237" i="2"/>
  <c r="Y89" i="2"/>
  <c r="U180" i="2"/>
  <c r="S238" i="2"/>
  <c r="J488" i="2"/>
  <c r="AB488" i="2"/>
  <c r="E489" i="2"/>
  <c r="E490" i="2" s="1"/>
  <c r="AB416" i="2"/>
  <c r="H489" i="2"/>
  <c r="H491" i="2" s="1"/>
  <c r="O90" i="2"/>
  <c r="AC415" i="2"/>
  <c r="B489" i="2"/>
  <c r="B494" i="2" s="1"/>
  <c r="R278" i="2"/>
  <c r="N240" i="2"/>
  <c r="S242" i="2" s="1"/>
  <c r="AD90" i="2"/>
  <c r="E279" i="2"/>
  <c r="AB280" i="2"/>
  <c r="AC37" i="2"/>
  <c r="U209" i="2"/>
  <c r="W412" i="2"/>
  <c r="N178" i="2"/>
  <c r="O415" i="2"/>
  <c r="H488" i="2"/>
  <c r="S489" i="2"/>
  <c r="S494" i="2" s="1"/>
  <c r="N417" i="2"/>
  <c r="U361" i="2"/>
  <c r="P436" i="2"/>
  <c r="AB281" i="2"/>
  <c r="AC281" i="2"/>
  <c r="Q470" i="2"/>
  <c r="AC89" i="2"/>
  <c r="M178" i="2"/>
  <c r="T50" i="2"/>
  <c r="H245" i="2"/>
  <c r="M247" i="2" s="1"/>
  <c r="Z210" i="2"/>
  <c r="I223" i="2"/>
  <c r="X218" i="2"/>
  <c r="M242" i="2"/>
  <c r="Q219" i="2"/>
  <c r="F481" i="2"/>
  <c r="U481" i="2"/>
  <c r="D344" i="2"/>
  <c r="Z451" i="2"/>
  <c r="AE327" i="2"/>
  <c r="AE210" i="2"/>
  <c r="P184" i="2"/>
  <c r="M307" i="2"/>
  <c r="W377" i="2"/>
  <c r="Z209" i="2"/>
  <c r="L238" i="2"/>
  <c r="W238" i="2"/>
  <c r="U176" i="2"/>
  <c r="U278" i="2" s="1"/>
  <c r="AC342" i="2"/>
  <c r="Q51" i="2"/>
  <c r="X409" i="2"/>
  <c r="P183" i="2"/>
  <c r="P186" i="2"/>
  <c r="V219" i="2"/>
  <c r="F324" i="2"/>
  <c r="W450" i="2"/>
  <c r="U412" i="2"/>
  <c r="Z180" i="2"/>
  <c r="AD491" i="2"/>
  <c r="U457" i="2"/>
  <c r="I218" i="2"/>
  <c r="U210" i="2"/>
  <c r="U181" i="2"/>
  <c r="E83" i="2"/>
  <c r="Z181" i="2"/>
  <c r="U450" i="2"/>
  <c r="AB301" i="2"/>
  <c r="H209" i="2"/>
  <c r="P202" i="2"/>
  <c r="K210" i="2"/>
  <c r="N90" i="2"/>
  <c r="E86" i="2"/>
  <c r="I37" i="2"/>
  <c r="AE17" i="2"/>
  <c r="AE193" i="2"/>
  <c r="AE184" i="2"/>
  <c r="T37" i="2"/>
  <c r="AA223" i="2"/>
  <c r="L235" i="2"/>
  <c r="P427" i="2"/>
  <c r="Y402" i="2"/>
  <c r="T501" i="2"/>
  <c r="P403" i="2"/>
  <c r="Y348" i="2"/>
  <c r="AD350" i="2" s="1"/>
  <c r="M402" i="2"/>
  <c r="M428" i="2" s="1"/>
  <c r="AE84" i="2"/>
  <c r="S50" i="2"/>
  <c r="AC241" i="2"/>
  <c r="G314" i="2"/>
  <c r="O348" i="2"/>
  <c r="O350" i="2" s="1"/>
  <c r="N219" i="2"/>
  <c r="H279" i="2"/>
  <c r="Q223" i="2"/>
  <c r="AE83" i="2"/>
  <c r="Z205" i="2"/>
  <c r="F233" i="2"/>
  <c r="H234" i="2" s="1"/>
  <c r="Q280" i="2"/>
  <c r="AB68" i="2"/>
  <c r="U71" i="2"/>
  <c r="Z60" i="2"/>
  <c r="AC50" i="2"/>
  <c r="U14" i="2"/>
  <c r="I314" i="2"/>
  <c r="AB38" i="2"/>
  <c r="G238" i="2"/>
  <c r="W38" i="2"/>
  <c r="W83" i="2"/>
  <c r="Z53" i="2"/>
  <c r="Y279" i="2"/>
  <c r="I313" i="2"/>
  <c r="S38" i="2"/>
  <c r="V485" i="2"/>
  <c r="U482" i="2"/>
  <c r="J354" i="2"/>
  <c r="AE28" i="2"/>
  <c r="AE382" i="2"/>
  <c r="Z36" i="2"/>
  <c r="U36" i="2"/>
  <c r="U125" i="2" s="1"/>
  <c r="AE374" i="2"/>
  <c r="N415" i="2"/>
  <c r="O329" i="2"/>
  <c r="O331" i="2" s="1"/>
  <c r="AE33" i="2"/>
  <c r="O37" i="2"/>
  <c r="X37" i="2"/>
  <c r="O501" i="2"/>
  <c r="AE400" i="2"/>
  <c r="AA38" i="2"/>
  <c r="P292" i="2"/>
  <c r="AC451" i="2"/>
  <c r="S222" i="2"/>
  <c r="U275" i="2"/>
  <c r="R488" i="2"/>
  <c r="I329" i="2"/>
  <c r="K329" i="2" s="1"/>
  <c r="K330" i="2" s="1"/>
  <c r="O314" i="2"/>
  <c r="AE232" i="2"/>
  <c r="P210" i="2"/>
  <c r="T38" i="2"/>
  <c r="S37" i="2"/>
  <c r="W304" i="2"/>
  <c r="U475" i="2"/>
  <c r="AB327" i="2"/>
  <c r="F327" i="2"/>
  <c r="T330" i="2"/>
  <c r="Z187" i="2"/>
  <c r="J86" i="2"/>
  <c r="Z28" i="2"/>
  <c r="U84" i="2"/>
  <c r="AB501" i="2"/>
  <c r="D402" i="2"/>
  <c r="D428" i="2" s="1"/>
  <c r="D386" i="2"/>
  <c r="R335" i="2"/>
  <c r="P335" i="2"/>
  <c r="AB269" i="2"/>
  <c r="Z269" i="2"/>
  <c r="Z260" i="2"/>
  <c r="AB260" i="2"/>
  <c r="P27" i="2"/>
  <c r="R27" i="2"/>
  <c r="AB13" i="2"/>
  <c r="Z14" i="2"/>
  <c r="Z382" i="2"/>
  <c r="Z383" i="2" s="1"/>
  <c r="O89" i="2"/>
  <c r="U88" i="2"/>
  <c r="T89" i="2"/>
  <c r="S90" i="2"/>
  <c r="I240" i="2"/>
  <c r="K240" i="2" s="1"/>
  <c r="K241" i="2" s="1"/>
  <c r="I237" i="2"/>
  <c r="AD238" i="2"/>
  <c r="AD240" i="2"/>
  <c r="AD245" i="2" s="1"/>
  <c r="AD247" i="2" s="1"/>
  <c r="S342" i="2"/>
  <c r="N343" i="2"/>
  <c r="S345" i="2" s="1"/>
  <c r="P305" i="2"/>
  <c r="AE236" i="2"/>
  <c r="AE257" i="2"/>
  <c r="U339" i="2"/>
  <c r="U338" i="2"/>
  <c r="P235" i="2"/>
  <c r="K234" i="2"/>
  <c r="P231" i="2"/>
  <c r="P232" i="2"/>
  <c r="M280" i="2"/>
  <c r="Z204" i="2"/>
  <c r="AB204" i="2"/>
  <c r="AB201" i="2"/>
  <c r="Z201" i="2"/>
  <c r="AB219" i="2"/>
  <c r="W279" i="2"/>
  <c r="O219" i="2"/>
  <c r="O279" i="2"/>
  <c r="O218" i="2"/>
  <c r="I219" i="2"/>
  <c r="J218" i="2"/>
  <c r="D279" i="2"/>
  <c r="D218" i="2"/>
  <c r="W192" i="2"/>
  <c r="U193" i="2"/>
  <c r="Z193" i="2"/>
  <c r="U192" i="2"/>
  <c r="M186" i="2"/>
  <c r="K186" i="2"/>
  <c r="P187" i="2"/>
  <c r="M183" i="2"/>
  <c r="K183" i="2"/>
  <c r="Z71" i="2"/>
  <c r="Z72" i="2"/>
  <c r="AB24" i="2"/>
  <c r="Z24" i="2"/>
  <c r="Z25" i="2"/>
  <c r="R16" i="2"/>
  <c r="P16" i="2"/>
  <c r="P33" i="2"/>
  <c r="P10" i="2"/>
  <c r="AE14" i="2"/>
  <c r="AE60" i="2"/>
  <c r="AE65" i="2"/>
  <c r="AE71" i="2"/>
  <c r="AE72" i="2"/>
  <c r="AE186" i="2"/>
  <c r="AE187" i="2"/>
  <c r="AE209" i="2"/>
  <c r="AE205" i="2"/>
  <c r="W383" i="2"/>
  <c r="U383" i="2"/>
  <c r="U384" i="2"/>
  <c r="AC447" i="2"/>
  <c r="AD447" i="2"/>
  <c r="AC448" i="2"/>
  <c r="AD457" i="2"/>
  <c r="D490" i="2"/>
  <c r="I491" i="2"/>
  <c r="D494" i="2"/>
  <c r="Z312" i="2"/>
  <c r="Z313" i="2" s="1"/>
  <c r="X314" i="2"/>
  <c r="X313" i="2"/>
  <c r="W33" i="2"/>
  <c r="U33" i="2"/>
  <c r="W10" i="2"/>
  <c r="U11" i="2"/>
  <c r="AE307" i="2"/>
  <c r="O177" i="2"/>
  <c r="O280" i="2"/>
  <c r="N286" i="2"/>
  <c r="AC488" i="2"/>
  <c r="I415" i="2"/>
  <c r="G342" i="2"/>
  <c r="AE500" i="2"/>
  <c r="R178" i="2"/>
  <c r="U263" i="2"/>
  <c r="Y313" i="2"/>
  <c r="Z13" i="2"/>
  <c r="F312" i="2"/>
  <c r="P336" i="2"/>
  <c r="Z307" i="2"/>
  <c r="X487" i="2"/>
  <c r="M278" i="2"/>
  <c r="E487" i="2"/>
  <c r="W338" i="2"/>
  <c r="V279" i="2"/>
  <c r="W272" i="2"/>
  <c r="S501" i="2"/>
  <c r="T475" i="2"/>
  <c r="N387" i="2"/>
  <c r="I387" i="2"/>
  <c r="S314" i="2"/>
  <c r="N314" i="2"/>
  <c r="R304" i="2"/>
  <c r="U305" i="2"/>
  <c r="W16" i="2"/>
  <c r="U17" i="2"/>
  <c r="Z17" i="2"/>
  <c r="K21" i="2"/>
  <c r="M21" i="2"/>
  <c r="K22" i="2"/>
  <c r="AE27" i="2"/>
  <c r="AE472" i="2"/>
  <c r="J89" i="2"/>
  <c r="Y177" i="2"/>
  <c r="X177" i="2"/>
  <c r="AA278" i="2"/>
  <c r="AA178" i="2"/>
  <c r="AA280" i="2"/>
  <c r="Z176" i="2"/>
  <c r="AB177" i="2" s="1"/>
  <c r="K361" i="2"/>
  <c r="F360" i="2"/>
  <c r="F426" i="2"/>
  <c r="H360" i="2"/>
  <c r="U28" i="2"/>
  <c r="K236" i="2"/>
  <c r="U34" i="2"/>
  <c r="P88" i="2"/>
  <c r="T178" i="2"/>
  <c r="K88" i="2"/>
  <c r="K126" i="2" s="1"/>
  <c r="AE435" i="2"/>
  <c r="Y476" i="2"/>
  <c r="Z308" i="2"/>
  <c r="AE328" i="2"/>
  <c r="AD237" i="2"/>
  <c r="I86" i="2"/>
  <c r="S89" i="2"/>
  <c r="O178" i="2"/>
  <c r="AA279" i="2"/>
  <c r="I386" i="2"/>
  <c r="W360" i="2"/>
  <c r="K436" i="2"/>
  <c r="Q38" i="2"/>
  <c r="L345" i="2"/>
  <c r="P36" i="2"/>
  <c r="P125" i="2" s="1"/>
  <c r="R447" i="2"/>
  <c r="P447" i="2"/>
  <c r="R463" i="2"/>
  <c r="P463" i="2"/>
  <c r="V226" i="2"/>
  <c r="AA228" i="2" s="1"/>
  <c r="V280" i="2"/>
  <c r="AD448" i="2"/>
  <c r="AC450" i="2"/>
  <c r="K499" i="2"/>
  <c r="J386" i="2"/>
  <c r="P310" i="2"/>
  <c r="R310" i="2"/>
  <c r="J242" i="2"/>
  <c r="AC38" i="2"/>
  <c r="H416" i="2"/>
  <c r="J280" i="2"/>
  <c r="U202" i="2"/>
  <c r="W219" i="2"/>
  <c r="N218" i="2"/>
  <c r="L219" i="2"/>
  <c r="B279" i="2"/>
  <c r="AE66" i="2"/>
  <c r="D83" i="2"/>
  <c r="U25" i="2"/>
  <c r="AE302" i="2"/>
  <c r="AB450" i="2"/>
  <c r="S416" i="2"/>
  <c r="Y386" i="2"/>
  <c r="T386" i="2"/>
  <c r="K312" i="2"/>
  <c r="K313" i="2" s="1"/>
  <c r="E218" i="2"/>
  <c r="AD50" i="2"/>
  <c r="U68" i="2"/>
  <c r="Z69" i="2"/>
  <c r="R13" i="2"/>
  <c r="P13" i="2"/>
  <c r="AE24" i="2"/>
  <c r="AE266" i="2"/>
  <c r="AE269" i="2"/>
  <c r="AE270" i="2"/>
  <c r="AE438" i="2"/>
  <c r="AE408" i="2"/>
  <c r="X42" i="2"/>
  <c r="X38" i="2"/>
  <c r="T42" i="2"/>
  <c r="Y38" i="2"/>
  <c r="Q42" i="2"/>
  <c r="V38" i="2"/>
  <c r="N89" i="2"/>
  <c r="X90" i="2"/>
  <c r="AE88" i="2"/>
  <c r="F236" i="2"/>
  <c r="G240" i="2"/>
  <c r="G242" i="2" s="1"/>
  <c r="I238" i="2"/>
  <c r="J237" i="2"/>
  <c r="N238" i="2"/>
  <c r="P176" i="2"/>
  <c r="P177" i="2" s="1"/>
  <c r="R240" i="2"/>
  <c r="R242" i="2" s="1"/>
  <c r="S237" i="2"/>
  <c r="R238" i="2"/>
  <c r="U236" i="2"/>
  <c r="W237" i="2" s="1"/>
  <c r="V198" i="2"/>
  <c r="V196" i="2"/>
  <c r="V278" i="2"/>
  <c r="V178" i="2"/>
  <c r="AC178" i="2"/>
  <c r="X278" i="2"/>
  <c r="X178" i="2"/>
  <c r="AA198" i="2"/>
  <c r="AA196" i="2"/>
  <c r="F285" i="2"/>
  <c r="L287" i="2"/>
  <c r="G287" i="2"/>
  <c r="G353" i="2"/>
  <c r="G298" i="2"/>
  <c r="G296" i="2"/>
  <c r="J355" i="2"/>
  <c r="O287" i="2"/>
  <c r="J287" i="2"/>
  <c r="J353" i="2"/>
  <c r="J352" i="2"/>
  <c r="J286" i="2"/>
  <c r="M353" i="2"/>
  <c r="M287" i="2"/>
  <c r="M352" i="2"/>
  <c r="R287" i="2"/>
  <c r="N341" i="2"/>
  <c r="N342" i="2"/>
  <c r="O341" i="2"/>
  <c r="V355" i="2"/>
  <c r="AA342" i="2"/>
  <c r="V342" i="2"/>
  <c r="V343" i="2"/>
  <c r="AA355" i="2"/>
  <c r="AA352" i="2"/>
  <c r="AA298" i="2"/>
  <c r="AA296" i="2"/>
  <c r="AA353" i="2"/>
  <c r="AE340" i="2"/>
  <c r="AE342" i="2" s="1"/>
  <c r="AC341" i="2"/>
  <c r="AC343" i="2"/>
  <c r="AD341" i="2"/>
  <c r="G429" i="2"/>
  <c r="G417" i="2"/>
  <c r="L416" i="2"/>
  <c r="G416" i="2"/>
  <c r="I429" i="2"/>
  <c r="I417" i="2"/>
  <c r="I419" i="2" s="1"/>
  <c r="N416" i="2"/>
  <c r="I416" i="2"/>
  <c r="M429" i="2"/>
  <c r="R416" i="2"/>
  <c r="M416" i="2"/>
  <c r="U360" i="2"/>
  <c r="V429" i="2"/>
  <c r="V417" i="2"/>
  <c r="V416" i="2"/>
  <c r="X429" i="2"/>
  <c r="X417" i="2"/>
  <c r="X422" i="2" s="1"/>
  <c r="X415" i="2"/>
  <c r="X416" i="2"/>
  <c r="AC416" i="2"/>
  <c r="Y415" i="2"/>
  <c r="AE360" i="2"/>
  <c r="AE427" i="2"/>
  <c r="D502" i="2"/>
  <c r="D487" i="2"/>
  <c r="M435" i="2"/>
  <c r="K435" i="2"/>
  <c r="K500" i="2"/>
  <c r="N487" i="2"/>
  <c r="M489" i="2"/>
  <c r="M494" i="2" s="1"/>
  <c r="R502" i="2"/>
  <c r="S487" i="2"/>
  <c r="W488" i="2"/>
  <c r="R489" i="2"/>
  <c r="R494" i="2" s="1"/>
  <c r="V502" i="2"/>
  <c r="V489" i="2"/>
  <c r="V494" i="2" s="1"/>
  <c r="V488" i="2"/>
  <c r="X488" i="2"/>
  <c r="X489" i="2"/>
  <c r="X494" i="2" s="1"/>
  <c r="W289" i="2"/>
  <c r="AB254" i="2"/>
  <c r="AE311" i="2"/>
  <c r="Y218" i="2"/>
  <c r="AB410" i="2"/>
  <c r="G402" i="2"/>
  <c r="G387" i="2"/>
  <c r="P380" i="2"/>
  <c r="R380" i="2"/>
  <c r="U381" i="2"/>
  <c r="R30" i="2"/>
  <c r="P30" i="2"/>
  <c r="AB335" i="2"/>
  <c r="Z335" i="2"/>
  <c r="AE336" i="2"/>
  <c r="H335" i="2"/>
  <c r="F335" i="2"/>
  <c r="R301" i="2"/>
  <c r="P301" i="2"/>
  <c r="K304" i="2"/>
  <c r="M304" i="2"/>
  <c r="AB257" i="2"/>
  <c r="Z257" i="2"/>
  <c r="AB231" i="2"/>
  <c r="Z231" i="2"/>
  <c r="P193" i="2"/>
  <c r="U51" i="2"/>
  <c r="G219" i="2"/>
  <c r="Z66" i="2"/>
  <c r="AE439" i="2"/>
  <c r="U187" i="2"/>
  <c r="W68" i="2"/>
  <c r="AB65" i="2"/>
  <c r="Z184" i="2"/>
  <c r="M192" i="2"/>
  <c r="K336" i="2"/>
  <c r="S476" i="2"/>
  <c r="AE276" i="2"/>
  <c r="W307" i="2"/>
  <c r="Q485" i="2"/>
  <c r="P483" i="2"/>
  <c r="R484" i="2" s="1"/>
  <c r="R481" i="2"/>
  <c r="P481" i="2"/>
  <c r="N476" i="2"/>
  <c r="O475" i="2"/>
  <c r="N501" i="2"/>
  <c r="U451" i="2"/>
  <c r="R450" i="2"/>
  <c r="C422" i="2"/>
  <c r="D418" i="2"/>
  <c r="K413" i="2"/>
  <c r="F385" i="2"/>
  <c r="F386" i="2" s="1"/>
  <c r="F427" i="2"/>
  <c r="U308" i="2"/>
  <c r="Z258" i="2"/>
  <c r="G354" i="2"/>
  <c r="AC409" i="2"/>
  <c r="S409" i="2"/>
  <c r="U464" i="2"/>
  <c r="Y409" i="2"/>
  <c r="AC254" i="2"/>
  <c r="K485" i="2"/>
  <c r="M484" i="2"/>
  <c r="C501" i="2"/>
  <c r="D475" i="2"/>
  <c r="R456" i="2"/>
  <c r="P456" i="2"/>
  <c r="K453" i="2"/>
  <c r="M453" i="2"/>
  <c r="Z447" i="2"/>
  <c r="AB447" i="2"/>
  <c r="H463" i="2"/>
  <c r="F499" i="2"/>
  <c r="F463" i="2"/>
  <c r="K450" i="2"/>
  <c r="M450" i="2"/>
  <c r="Y422" i="2"/>
  <c r="AB402" i="2"/>
  <c r="AC403" i="2" s="1"/>
  <c r="P383" i="2"/>
  <c r="R383" i="2"/>
  <c r="AB400" i="2"/>
  <c r="AE401" i="2"/>
  <c r="P426" i="2"/>
  <c r="P397" i="2"/>
  <c r="U398" i="2"/>
  <c r="R397" i="2"/>
  <c r="AE377" i="2"/>
  <c r="K377" i="2"/>
  <c r="AB348" i="2"/>
  <c r="S344" i="2"/>
  <c r="R348" i="2"/>
  <c r="S349" i="2" s="1"/>
  <c r="W345" i="2"/>
  <c r="Z329" i="2"/>
  <c r="Z330" i="2" s="1"/>
  <c r="S354" i="2"/>
  <c r="S330" i="2"/>
  <c r="AC313" i="2"/>
  <c r="U311" i="2"/>
  <c r="Z311" i="2"/>
  <c r="S245" i="2"/>
  <c r="T241" i="2"/>
  <c r="V235" i="2"/>
  <c r="Q235" i="2"/>
  <c r="U230" i="2"/>
  <c r="W232" i="2"/>
  <c r="AC223" i="2"/>
  <c r="AC222" i="2"/>
  <c r="X223" i="2"/>
  <c r="X280" i="2"/>
  <c r="Y222" i="2"/>
  <c r="S226" i="2"/>
  <c r="U221" i="2"/>
  <c r="U222" i="2" s="1"/>
  <c r="S280" i="2"/>
  <c r="S223" i="2"/>
  <c r="N226" i="2"/>
  <c r="N222" i="2"/>
  <c r="N280" i="2"/>
  <c r="N223" i="2"/>
  <c r="I226" i="2"/>
  <c r="I222" i="2"/>
  <c r="D280" i="2"/>
  <c r="F221" i="2"/>
  <c r="D222" i="2"/>
  <c r="K212" i="2"/>
  <c r="P213" i="2"/>
  <c r="P205" i="2"/>
  <c r="M204" i="2"/>
  <c r="K202" i="2"/>
  <c r="K201" i="2"/>
  <c r="M201" i="2"/>
  <c r="AE426" i="2"/>
  <c r="AE397" i="2"/>
  <c r="AC494" i="2"/>
  <c r="AD490" i="2"/>
  <c r="M377" i="2"/>
  <c r="AB242" i="2"/>
  <c r="W245" i="2"/>
  <c r="AB247" i="2" s="1"/>
  <c r="E428" i="2"/>
  <c r="L348" i="2"/>
  <c r="L350" i="2" s="1"/>
  <c r="X279" i="2"/>
  <c r="AC355" i="2"/>
  <c r="Z217" i="2"/>
  <c r="AC219" i="2"/>
  <c r="H331" i="2"/>
  <c r="AE308" i="2"/>
  <c r="P293" i="2"/>
  <c r="AE446" i="2"/>
  <c r="AC456" i="2"/>
  <c r="AE449" i="2"/>
  <c r="K340" i="2"/>
  <c r="AB345" i="2"/>
  <c r="E222" i="2"/>
  <c r="Z84" i="2"/>
  <c r="AE25" i="2"/>
  <c r="AE261" i="2"/>
  <c r="Z31" i="2"/>
  <c r="K310" i="2"/>
  <c r="H501" i="2"/>
  <c r="H476" i="2"/>
  <c r="K438" i="2"/>
  <c r="P439" i="2"/>
  <c r="M438" i="2"/>
  <c r="P311" i="2"/>
  <c r="W354" i="2"/>
  <c r="P83" i="2"/>
  <c r="R83" i="2"/>
  <c r="V329" i="2"/>
  <c r="U329" i="2" s="1"/>
  <c r="U312" i="2"/>
  <c r="AA314" i="2"/>
  <c r="U301" i="2"/>
  <c r="Z302" i="2"/>
  <c r="U327" i="2"/>
  <c r="Z328" i="2"/>
  <c r="W327" i="2"/>
  <c r="B226" i="2"/>
  <c r="B280" i="2"/>
  <c r="R209" i="2"/>
  <c r="P209" i="2"/>
  <c r="P192" i="2"/>
  <c r="R192" i="2"/>
  <c r="R180" i="2"/>
  <c r="P180" i="2"/>
  <c r="U59" i="2"/>
  <c r="W59" i="2"/>
  <c r="U456" i="2"/>
  <c r="W456" i="2"/>
  <c r="P453" i="2"/>
  <c r="P454" i="2"/>
  <c r="K447" i="2"/>
  <c r="P448" i="2"/>
  <c r="M447" i="2"/>
  <c r="F500" i="2"/>
  <c r="K473" i="2"/>
  <c r="P464" i="2"/>
  <c r="M463" i="2"/>
  <c r="K464" i="2"/>
  <c r="P450" i="2"/>
  <c r="P451" i="2"/>
  <c r="M412" i="2"/>
  <c r="P413" i="2"/>
  <c r="N428" i="2"/>
  <c r="O403" i="2"/>
  <c r="AC386" i="2"/>
  <c r="AC387" i="2"/>
  <c r="X387" i="2"/>
  <c r="X402" i="2"/>
  <c r="X428" i="2" s="1"/>
  <c r="S402" i="2"/>
  <c r="S386" i="2"/>
  <c r="S387" i="2"/>
  <c r="M374" i="2"/>
  <c r="K374" i="2"/>
  <c r="U397" i="2"/>
  <c r="U426" i="2"/>
  <c r="N38" i="2"/>
  <c r="I38" i="2"/>
  <c r="D37" i="2"/>
  <c r="Z27" i="2"/>
  <c r="AB27" i="2"/>
  <c r="Q410" i="2"/>
  <c r="U302" i="2"/>
  <c r="U205" i="2"/>
  <c r="F217" i="2"/>
  <c r="L84" i="2"/>
  <c r="F82" i="2"/>
  <c r="AE57" i="2"/>
  <c r="AE69" i="2"/>
  <c r="AD451" i="2"/>
  <c r="L314" i="2"/>
  <c r="P328" i="2"/>
  <c r="K217" i="2"/>
  <c r="Z30" i="2"/>
  <c r="E88" i="2"/>
  <c r="H281" i="2"/>
  <c r="H502" i="2"/>
  <c r="AC303" i="2"/>
  <c r="AC305" i="2" s="1"/>
  <c r="F30" i="2"/>
  <c r="B88" i="2"/>
  <c r="G176" i="2"/>
  <c r="G281" i="2" s="1"/>
  <c r="AD494" i="2"/>
  <c r="F484" i="2"/>
  <c r="H484" i="2"/>
  <c r="AE482" i="2"/>
  <c r="AB481" i="2"/>
  <c r="M481" i="2"/>
  <c r="K481" i="2"/>
  <c r="P482" i="2"/>
  <c r="R501" i="2"/>
  <c r="R476" i="2"/>
  <c r="S475" i="2"/>
  <c r="M476" i="2"/>
  <c r="P474" i="2"/>
  <c r="P501" i="2" s="1"/>
  <c r="N475" i="2"/>
  <c r="L387" i="2"/>
  <c r="L402" i="2"/>
  <c r="L428" i="2" s="1"/>
  <c r="W402" i="2"/>
  <c r="AB387" i="2"/>
  <c r="T226" i="2"/>
  <c r="T223" i="2"/>
  <c r="T222" i="2"/>
  <c r="O226" i="2"/>
  <c r="P221" i="2"/>
  <c r="O222" i="2"/>
  <c r="R212" i="2"/>
  <c r="U213" i="2"/>
  <c r="P212" i="2"/>
  <c r="P201" i="2"/>
  <c r="R201" i="2"/>
  <c r="S218" i="2"/>
  <c r="U217" i="2"/>
  <c r="U218" i="2" s="1"/>
  <c r="R219" i="2"/>
  <c r="R279" i="2"/>
  <c r="P217" i="2"/>
  <c r="M219" i="2"/>
  <c r="M279" i="2"/>
  <c r="M209" i="2"/>
  <c r="K209" i="2"/>
  <c r="P181" i="2"/>
  <c r="M180" i="2"/>
  <c r="U183" i="2"/>
  <c r="U184" i="2"/>
  <c r="Z57" i="2"/>
  <c r="W56" i="2"/>
  <c r="M38" i="2"/>
  <c r="H38" i="2"/>
  <c r="K36" i="2"/>
  <c r="K125" i="2" s="1"/>
  <c r="K13" i="2"/>
  <c r="M13" i="2"/>
  <c r="P14" i="2"/>
  <c r="AB33" i="2"/>
  <c r="Z34" i="2"/>
  <c r="P21" i="2"/>
  <c r="P22" i="2"/>
  <c r="Z11" i="2"/>
  <c r="AB10" i="2"/>
  <c r="AE10" i="2"/>
  <c r="AE11" i="2"/>
  <c r="AE34" i="2"/>
  <c r="AE16" i="2"/>
  <c r="AE181" i="2"/>
  <c r="AE192" i="2"/>
  <c r="AE202" i="2"/>
  <c r="M348" i="2"/>
  <c r="M422" i="2"/>
  <c r="U438" i="2"/>
  <c r="W438" i="2"/>
  <c r="AD409" i="2"/>
  <c r="T409" i="2"/>
  <c r="T410" i="2"/>
  <c r="N410" i="2"/>
  <c r="N409" i="2"/>
  <c r="S410" i="2"/>
  <c r="F409" i="2"/>
  <c r="H409" i="2"/>
  <c r="Z385" i="2"/>
  <c r="AB386" i="2" s="1"/>
  <c r="M383" i="2"/>
  <c r="P384" i="2"/>
  <c r="K383" i="2"/>
  <c r="AB380" i="2"/>
  <c r="Z380" i="2"/>
  <c r="W400" i="2"/>
  <c r="U427" i="2"/>
  <c r="U400" i="2"/>
  <c r="K397" i="2"/>
  <c r="M397" i="2"/>
  <c r="AA348" i="2"/>
  <c r="C348" i="2"/>
  <c r="H350" i="2" s="1"/>
  <c r="H345" i="2"/>
  <c r="P339" i="2"/>
  <c r="K338" i="2"/>
  <c r="U335" i="2"/>
  <c r="U336" i="2"/>
  <c r="D330" i="2"/>
  <c r="D354" i="2"/>
  <c r="AB314" i="2"/>
  <c r="AE312" i="2"/>
  <c r="AE313" i="2" s="1"/>
  <c r="P307" i="2"/>
  <c r="P308" i="2"/>
  <c r="R307" i="2"/>
  <c r="K301" i="2"/>
  <c r="P302" i="2"/>
  <c r="K324" i="2"/>
  <c r="K325" i="2"/>
  <c r="Z304" i="2"/>
  <c r="Z305" i="2"/>
  <c r="W292" i="2"/>
  <c r="U293" i="2"/>
  <c r="U292" i="2"/>
  <c r="R289" i="2"/>
  <c r="P289" i="2"/>
  <c r="P290" i="2"/>
  <c r="U290" i="2"/>
  <c r="Z270" i="2"/>
  <c r="W269" i="2"/>
  <c r="W260" i="2"/>
  <c r="Z261" i="2"/>
  <c r="R232" i="2"/>
  <c r="S231" i="2"/>
  <c r="R231" i="2"/>
  <c r="AC226" i="2"/>
  <c r="AC227" i="2" s="1"/>
  <c r="AE221" i="2"/>
  <c r="AC280" i="2"/>
  <c r="X226" i="2"/>
  <c r="X222" i="2"/>
  <c r="W484" i="2"/>
  <c r="U374" i="2"/>
  <c r="X386" i="2"/>
  <c r="W186" i="2"/>
  <c r="W335" i="2"/>
  <c r="E280" i="2"/>
  <c r="U269" i="2"/>
  <c r="I475" i="2"/>
  <c r="K474" i="2"/>
  <c r="K475" i="2" s="1"/>
  <c r="J475" i="2"/>
  <c r="W30" i="2"/>
  <c r="B42" i="2"/>
  <c r="AA384" i="2"/>
  <c r="AE454" i="2"/>
  <c r="K482" i="2"/>
  <c r="I476" i="2"/>
  <c r="B355" i="2"/>
  <c r="F340" i="2"/>
  <c r="AE453" i="2"/>
  <c r="Z293" i="2"/>
  <c r="AD222" i="2"/>
  <c r="AB463" i="2"/>
  <c r="Z499" i="2"/>
  <c r="Z450" i="2"/>
  <c r="AB412" i="2"/>
  <c r="AE413" i="2"/>
  <c r="Z408" i="2"/>
  <c r="AB409" i="2" s="1"/>
  <c r="Y410" i="2"/>
  <c r="Z377" i="2"/>
  <c r="AE378" i="2"/>
  <c r="Z378" i="2"/>
  <c r="R24" i="2"/>
  <c r="P24" i="2"/>
  <c r="AE56" i="2"/>
  <c r="AE63" i="2"/>
  <c r="AE68" i="2"/>
  <c r="R438" i="2"/>
  <c r="U439" i="2"/>
  <c r="U454" i="2"/>
  <c r="W453" i="2"/>
  <c r="U453" i="2"/>
  <c r="M472" i="2"/>
  <c r="K472" i="2"/>
  <c r="AE385" i="2"/>
  <c r="AD386" i="2"/>
  <c r="AD402" i="2"/>
  <c r="AD403" i="2" s="1"/>
  <c r="AD387" i="2"/>
  <c r="V402" i="2"/>
  <c r="AA404" i="2" s="1"/>
  <c r="U385" i="2"/>
  <c r="Q402" i="2"/>
  <c r="Q428" i="2" s="1"/>
  <c r="P385" i="2"/>
  <c r="Q387" i="2"/>
  <c r="J387" i="2"/>
  <c r="O387" i="2"/>
  <c r="J402" i="2"/>
  <c r="J404" i="2" s="1"/>
  <c r="U380" i="2"/>
  <c r="Z381" i="2"/>
  <c r="R374" i="2"/>
  <c r="P375" i="2"/>
  <c r="U401" i="2"/>
  <c r="P401" i="2"/>
  <c r="P400" i="2"/>
  <c r="AE398" i="2"/>
  <c r="AB397" i="2"/>
  <c r="F397" i="2"/>
  <c r="K398" i="2"/>
  <c r="AB192" i="2"/>
  <c r="Z192" i="2"/>
  <c r="W65" i="2"/>
  <c r="U65" i="2"/>
  <c r="Z62" i="2"/>
  <c r="AB62" i="2"/>
  <c r="Z63" i="2"/>
  <c r="Z54" i="2"/>
  <c r="W53" i="2"/>
  <c r="O87" i="2"/>
  <c r="J87" i="2"/>
  <c r="J83" i="2"/>
  <c r="N84" i="2"/>
  <c r="I84" i="2"/>
  <c r="Z336" i="2"/>
  <c r="M292" i="2"/>
  <c r="K292" i="2"/>
  <c r="AB289" i="2"/>
  <c r="Z289" i="2"/>
  <c r="AD254" i="2"/>
  <c r="AC255" i="2"/>
  <c r="R226" i="2"/>
  <c r="R223" i="2"/>
  <c r="R280" i="2"/>
  <c r="M226" i="2"/>
  <c r="M223" i="2"/>
  <c r="H226" i="2"/>
  <c r="H223" i="2"/>
  <c r="AB212" i="2"/>
  <c r="Z212" i="2"/>
  <c r="AE475" i="2"/>
  <c r="AD475" i="2"/>
  <c r="H410" i="2"/>
  <c r="K408" i="2"/>
  <c r="M409" i="2" s="1"/>
  <c r="T354" i="2"/>
  <c r="Y331" i="2"/>
  <c r="E354" i="2"/>
  <c r="J331" i="2"/>
  <c r="E330" i="2"/>
  <c r="AC314" i="2"/>
  <c r="AD313" i="2"/>
  <c r="M314" i="2"/>
  <c r="M329" i="2"/>
  <c r="M354" i="2" s="1"/>
  <c r="N313" i="2"/>
  <c r="P324" i="2"/>
  <c r="P325" i="2"/>
  <c r="AE301" i="2"/>
  <c r="AE485" i="2"/>
  <c r="AE484" i="2"/>
  <c r="AD384" i="2"/>
  <c r="AD383" i="2"/>
  <c r="AA470" i="2"/>
  <c r="G470" i="2"/>
  <c r="U31" i="2"/>
  <c r="M281" i="2"/>
  <c r="W281" i="2"/>
  <c r="N355" i="2"/>
  <c r="T355" i="2"/>
  <c r="L281" i="2"/>
  <c r="Z454" i="2"/>
  <c r="I281" i="2"/>
  <c r="X355" i="2"/>
  <c r="G476" i="2"/>
  <c r="T245" i="2"/>
  <c r="U408" i="2"/>
  <c r="D88" i="2"/>
  <c r="B281" i="2"/>
  <c r="X281" i="2"/>
  <c r="O355" i="2"/>
  <c r="U414" i="2"/>
  <c r="AE414" i="2"/>
  <c r="E386" i="2"/>
  <c r="U375" i="2"/>
  <c r="O313" i="2"/>
  <c r="Z213" i="2"/>
  <c r="P31" i="2"/>
  <c r="N281" i="2"/>
  <c r="I355" i="2"/>
  <c r="U378" i="2"/>
  <c r="G38" i="2"/>
  <c r="Q355" i="2"/>
  <c r="U285" i="2"/>
  <c r="AE463" i="2"/>
  <c r="AE285" i="2"/>
  <c r="E417" i="2"/>
  <c r="E415" i="2"/>
  <c r="AE436" i="2"/>
  <c r="AA502" i="2"/>
  <c r="AA489" i="2"/>
  <c r="AC245" i="2"/>
  <c r="AA428" i="2"/>
  <c r="AC422" i="2"/>
  <c r="X331" i="2"/>
  <c r="X354" i="2"/>
  <c r="X330" i="2"/>
  <c r="Y330" i="2"/>
  <c r="AE464" i="2"/>
  <c r="J416" i="2"/>
  <c r="AE499" i="2"/>
  <c r="M456" i="2"/>
  <c r="K456" i="2"/>
  <c r="P457" i="2"/>
  <c r="U447" i="2"/>
  <c r="U448" i="2"/>
  <c r="Z448" i="2"/>
  <c r="R472" i="2"/>
  <c r="P500" i="2"/>
  <c r="P473" i="2"/>
  <c r="M410" i="2"/>
  <c r="R410" i="2"/>
  <c r="H402" i="2"/>
  <c r="K385" i="2"/>
  <c r="P381" i="2"/>
  <c r="K380" i="2"/>
  <c r="Z375" i="2"/>
  <c r="Z374" i="2"/>
  <c r="AE375" i="2"/>
  <c r="B348" i="2"/>
  <c r="G350" i="2" s="1"/>
  <c r="G345" i="2"/>
  <c r="Z337" i="2"/>
  <c r="L339" i="2"/>
  <c r="G339" i="2"/>
  <c r="R327" i="2"/>
  <c r="U328" i="2"/>
  <c r="U324" i="2"/>
  <c r="Z325" i="2"/>
  <c r="U325" i="2"/>
  <c r="K289" i="2"/>
  <c r="M289" i="2"/>
  <c r="Z276" i="2"/>
  <c r="Z275" i="2"/>
  <c r="U257" i="2"/>
  <c r="W257" i="2"/>
  <c r="AB266" i="2"/>
  <c r="AE267" i="2"/>
  <c r="R204" i="2"/>
  <c r="P204" i="2"/>
  <c r="W201" i="2"/>
  <c r="Z202" i="2"/>
  <c r="Y51" i="2"/>
  <c r="AD51" i="2"/>
  <c r="W86" i="2"/>
  <c r="U86" i="2"/>
  <c r="Z87" i="2"/>
  <c r="M87" i="2"/>
  <c r="K85" i="2"/>
  <c r="D86" i="2"/>
  <c r="F85" i="2"/>
  <c r="H84" i="2"/>
  <c r="K82" i="2"/>
  <c r="I83" i="2"/>
  <c r="J38" i="2"/>
  <c r="O38" i="2"/>
  <c r="J37" i="2"/>
  <c r="F36" i="2"/>
  <c r="E37" i="2"/>
  <c r="K34" i="2"/>
  <c r="P34" i="2"/>
  <c r="M10" i="2"/>
  <c r="K11" i="2"/>
  <c r="AE22" i="2"/>
  <c r="AE21" i="2"/>
  <c r="AE13" i="2"/>
  <c r="AE53" i="2"/>
  <c r="AE54" i="2"/>
  <c r="AE212" i="2"/>
  <c r="AE213" i="2"/>
  <c r="AE258" i="2"/>
  <c r="AE290" i="2"/>
  <c r="AE381" i="2"/>
  <c r="AC501" i="2"/>
  <c r="Y242" i="2"/>
  <c r="I428" i="2"/>
  <c r="N404" i="2"/>
  <c r="W447" i="2"/>
  <c r="P408" i="2"/>
  <c r="P409" i="2" s="1"/>
  <c r="Z453" i="2"/>
  <c r="AB453" i="2"/>
  <c r="R387" i="2"/>
  <c r="R402" i="2"/>
  <c r="W387" i="2"/>
  <c r="J350" i="2"/>
  <c r="K349" i="2"/>
  <c r="J245" i="2"/>
  <c r="AD456" i="2"/>
  <c r="AC457" i="2"/>
  <c r="AE455" i="2"/>
  <c r="AE457" i="2" s="1"/>
  <c r="AD450" i="2"/>
  <c r="AB90" i="2"/>
  <c r="W90" i="2"/>
  <c r="AE473" i="2"/>
  <c r="AB472" i="2"/>
  <c r="Y226" i="2"/>
  <c r="Y223" i="2"/>
  <c r="U16" i="2"/>
  <c r="W212" i="2"/>
  <c r="L223" i="2"/>
  <c r="Z221" i="2"/>
  <c r="N329" i="2"/>
  <c r="R453" i="2"/>
  <c r="F472" i="2"/>
  <c r="V476" i="2"/>
  <c r="Q476" i="2"/>
  <c r="M400" i="2"/>
  <c r="K400" i="2"/>
  <c r="F201" i="2"/>
  <c r="H201" i="2"/>
  <c r="R50" i="2"/>
  <c r="X51" i="2"/>
  <c r="L355" i="2"/>
  <c r="G502" i="2"/>
  <c r="G88" i="2"/>
  <c r="G126" i="2" s="1"/>
  <c r="K426" i="2"/>
  <c r="Z290" i="2"/>
  <c r="M324" i="2"/>
  <c r="Q339" i="2"/>
  <c r="AA387" i="2"/>
  <c r="M387" i="2"/>
  <c r="AE31" i="2"/>
  <c r="AE30" i="2"/>
  <c r="K31" i="2"/>
  <c r="K30" i="2"/>
  <c r="Z285" i="2"/>
  <c r="T281" i="2"/>
  <c r="AA281" i="2"/>
  <c r="AD281" i="2"/>
  <c r="K486" i="2"/>
  <c r="AE389" i="2"/>
  <c r="O281" i="2"/>
  <c r="R281" i="2"/>
  <c r="F486" i="2"/>
  <c r="Z486" i="2"/>
  <c r="V281" i="2"/>
  <c r="Y281" i="2"/>
  <c r="D355" i="2"/>
  <c r="K414" i="2"/>
  <c r="AD422" i="2"/>
  <c r="AD419" i="2"/>
  <c r="AD418" i="2"/>
  <c r="X475" i="2"/>
  <c r="X476" i="2"/>
  <c r="Z474" i="2"/>
  <c r="AB475" i="2" s="1"/>
  <c r="AC476" i="2"/>
  <c r="X501" i="2"/>
  <c r="Y475" i="2"/>
  <c r="E501" i="2"/>
  <c r="E475" i="2"/>
  <c r="J476" i="2"/>
  <c r="F474" i="2"/>
  <c r="H438" i="2"/>
  <c r="F438" i="2"/>
  <c r="K439" i="2"/>
  <c r="AB456" i="2"/>
  <c r="Z456" i="2"/>
  <c r="Z457" i="2"/>
  <c r="K401" i="2"/>
  <c r="F400" i="2"/>
  <c r="P377" i="2"/>
  <c r="R377" i="2"/>
  <c r="P378" i="2"/>
  <c r="Q329" i="2"/>
  <c r="P312" i="2"/>
  <c r="V314" i="2"/>
  <c r="Q314" i="2"/>
  <c r="L331" i="2"/>
  <c r="F329" i="2"/>
  <c r="G331" i="2"/>
  <c r="M327" i="2"/>
  <c r="K327" i="2"/>
  <c r="K328" i="2"/>
  <c r="Z292" i="2"/>
  <c r="AE293" i="2"/>
  <c r="AB292" i="2"/>
  <c r="Z272" i="2"/>
  <c r="Z273" i="2"/>
  <c r="AE273" i="2"/>
  <c r="AB272" i="2"/>
  <c r="U266" i="2"/>
  <c r="Z267" i="2"/>
  <c r="AB263" i="2"/>
  <c r="Z264" i="2"/>
  <c r="Z263" i="2"/>
  <c r="AE253" i="2"/>
  <c r="AD255" i="2"/>
  <c r="W254" i="2"/>
  <c r="Z255" i="2"/>
  <c r="W234" i="2"/>
  <c r="U234" i="2"/>
  <c r="U235" i="2"/>
  <c r="Z235" i="2"/>
  <c r="J226" i="2"/>
  <c r="J223" i="2"/>
  <c r="O223" i="2"/>
  <c r="K221" i="2"/>
  <c r="J222" i="2"/>
  <c r="T218" i="2"/>
  <c r="Y219" i="2"/>
  <c r="T279" i="2"/>
  <c r="T219" i="2"/>
  <c r="F343" i="2"/>
  <c r="E344" i="2"/>
  <c r="D348" i="2"/>
  <c r="AE218" i="2"/>
  <c r="AD476" i="2"/>
  <c r="AD501" i="2"/>
  <c r="H338" i="2"/>
  <c r="K339" i="2"/>
  <c r="AE264" i="2"/>
  <c r="X50" i="2"/>
  <c r="P11" i="2"/>
  <c r="Z22" i="2"/>
  <c r="W21" i="2"/>
  <c r="M33" i="2"/>
  <c r="M335" i="2"/>
  <c r="K335" i="2"/>
  <c r="W226" i="2"/>
  <c r="W223" i="2"/>
  <c r="AB223" i="2"/>
  <c r="Y50" i="2"/>
  <c r="U22" i="2"/>
  <c r="K33" i="2"/>
  <c r="AE263" i="2"/>
  <c r="AB83" i="2"/>
  <c r="Z83" i="2"/>
  <c r="AC51" i="2"/>
  <c r="H412" i="2"/>
  <c r="F412" i="2"/>
  <c r="U310" i="2"/>
  <c r="W310" i="2"/>
  <c r="AD226" i="2"/>
  <c r="AD223" i="2"/>
  <c r="G226" i="2"/>
  <c r="G223" i="2"/>
  <c r="V470" i="2"/>
  <c r="AE316" i="2"/>
  <c r="Q228" i="2"/>
  <c r="G355" i="2"/>
  <c r="K285" i="2"/>
  <c r="K353" i="2" s="1"/>
  <c r="P285" i="2"/>
  <c r="M355" i="2"/>
  <c r="X502" i="2"/>
  <c r="U340" i="2"/>
  <c r="P414" i="2"/>
  <c r="AC429" i="2"/>
  <c r="P340" i="2"/>
  <c r="F414" i="2"/>
  <c r="Z414" i="2"/>
  <c r="P486" i="2"/>
  <c r="AE486" i="2"/>
  <c r="L494" i="2" l="1"/>
  <c r="AC418" i="2"/>
  <c r="AB422" i="2"/>
  <c r="G44" i="2"/>
  <c r="E494" i="2"/>
  <c r="F494" i="2" s="1"/>
  <c r="F495" i="2" s="1"/>
  <c r="Q44" i="2"/>
  <c r="S43" i="2"/>
  <c r="AA44" i="2"/>
  <c r="T428" i="2"/>
  <c r="AE42" i="2"/>
  <c r="AE43" i="2" s="1"/>
  <c r="O96" i="2"/>
  <c r="R419" i="2"/>
  <c r="Y419" i="2"/>
  <c r="Z240" i="2"/>
  <c r="Z241" i="2" s="1"/>
  <c r="X242" i="2"/>
  <c r="V44" i="2"/>
  <c r="AD96" i="2"/>
  <c r="K94" i="2"/>
  <c r="M95" i="2" s="1"/>
  <c r="T496" i="2"/>
  <c r="W44" i="2"/>
  <c r="AB419" i="2"/>
  <c r="U490" i="2"/>
  <c r="Y491" i="2"/>
  <c r="X44" i="2"/>
  <c r="T491" i="2"/>
  <c r="N348" i="2"/>
  <c r="S350" i="2" s="1"/>
  <c r="T419" i="2"/>
  <c r="W422" i="2"/>
  <c r="W424" i="2" s="1"/>
  <c r="T242" i="2"/>
  <c r="F489" i="2"/>
  <c r="H490" i="2" s="1"/>
  <c r="O242" i="2"/>
  <c r="AA419" i="2"/>
  <c r="AE281" i="2"/>
  <c r="U485" i="2"/>
  <c r="AD43" i="2"/>
  <c r="P238" i="2"/>
  <c r="AC43" i="2"/>
  <c r="X96" i="2"/>
  <c r="H96" i="2"/>
  <c r="P237" i="2"/>
  <c r="Z281" i="2"/>
  <c r="O422" i="2"/>
  <c r="W490" i="2"/>
  <c r="O418" i="2"/>
  <c r="G491" i="2"/>
  <c r="J494" i="2"/>
  <c r="J495" i="2" s="1"/>
  <c r="AB44" i="2"/>
  <c r="O43" i="2"/>
  <c r="Z94" i="2"/>
  <c r="AB95" i="2" s="1"/>
  <c r="O495" i="2"/>
  <c r="AA99" i="2"/>
  <c r="Y490" i="2"/>
  <c r="AB304" i="2"/>
  <c r="X95" i="2"/>
  <c r="AA247" i="2"/>
  <c r="T96" i="2"/>
  <c r="J491" i="2"/>
  <c r="AB323" i="2"/>
  <c r="AB329" i="2" s="1"/>
  <c r="W419" i="2"/>
  <c r="T344" i="2"/>
  <c r="O419" i="2"/>
  <c r="M177" i="2"/>
  <c r="F402" i="2"/>
  <c r="F403" i="2" s="1"/>
  <c r="L44" i="2"/>
  <c r="P485" i="2"/>
  <c r="Y345" i="2"/>
  <c r="K278" i="2"/>
  <c r="U343" i="2"/>
  <c r="W344" i="2" s="1"/>
  <c r="T44" i="2"/>
  <c r="T345" i="2"/>
  <c r="B94" i="2"/>
  <c r="B99" i="2" s="1"/>
  <c r="B126" i="2"/>
  <c r="Q419" i="2"/>
  <c r="F125" i="2"/>
  <c r="D94" i="2"/>
  <c r="D126" i="2"/>
  <c r="E94" i="2"/>
  <c r="E126" i="2"/>
  <c r="AE89" i="2"/>
  <c r="AE126" i="2"/>
  <c r="P89" i="2"/>
  <c r="P126" i="2"/>
  <c r="AB89" i="2"/>
  <c r="Z126" i="2"/>
  <c r="T95" i="2"/>
  <c r="S44" i="2"/>
  <c r="R44" i="2"/>
  <c r="W89" i="2"/>
  <c r="U126" i="2"/>
  <c r="Z125" i="2"/>
  <c r="W101" i="2"/>
  <c r="Y404" i="2"/>
  <c r="Y95" i="2"/>
  <c r="AD44" i="2"/>
  <c r="P37" i="2"/>
  <c r="N43" i="2"/>
  <c r="Y350" i="2"/>
  <c r="Z417" i="2"/>
  <c r="AB418" i="2" s="1"/>
  <c r="H99" i="2"/>
  <c r="H101" i="2" s="1"/>
  <c r="U177" i="2"/>
  <c r="L422" i="2"/>
  <c r="Q96" i="2"/>
  <c r="O491" i="2"/>
  <c r="Y96" i="2"/>
  <c r="X345" i="2"/>
  <c r="X100" i="2"/>
  <c r="V428" i="2"/>
  <c r="Z37" i="2"/>
  <c r="AE237" i="2"/>
  <c r="K343" i="2"/>
  <c r="K344" i="2" s="1"/>
  <c r="AE37" i="2"/>
  <c r="U37" i="2"/>
  <c r="P42" i="2"/>
  <c r="P43" i="2" s="1"/>
  <c r="H419" i="2"/>
  <c r="I404" i="2"/>
  <c r="F234" i="2"/>
  <c r="Z89" i="2"/>
  <c r="Y418" i="2"/>
  <c r="H422" i="2"/>
  <c r="M424" i="2" s="1"/>
  <c r="I348" i="2"/>
  <c r="AC419" i="2"/>
  <c r="M345" i="2"/>
  <c r="S418" i="2"/>
  <c r="AA345" i="2"/>
  <c r="T43" i="2"/>
  <c r="F240" i="2"/>
  <c r="H241" i="2" s="1"/>
  <c r="U237" i="2"/>
  <c r="K501" i="2"/>
  <c r="AB491" i="2"/>
  <c r="N344" i="2"/>
  <c r="AC96" i="2"/>
  <c r="AE50" i="2"/>
  <c r="P278" i="2"/>
  <c r="J344" i="2"/>
  <c r="S422" i="2"/>
  <c r="X424" i="2" s="1"/>
  <c r="AB37" i="2"/>
  <c r="P484" i="2"/>
  <c r="I418" i="2"/>
  <c r="I345" i="2"/>
  <c r="AA242" i="2"/>
  <c r="K235" i="2"/>
  <c r="W37" i="2"/>
  <c r="Z177" i="2"/>
  <c r="N245" i="2"/>
  <c r="O246" i="2" s="1"/>
  <c r="V422" i="2"/>
  <c r="Z279" i="2"/>
  <c r="Z278" i="2"/>
  <c r="I95" i="2"/>
  <c r="K89" i="2"/>
  <c r="O490" i="2"/>
  <c r="M475" i="2"/>
  <c r="Z178" i="2"/>
  <c r="Z494" i="2"/>
  <c r="P417" i="2"/>
  <c r="R418" i="2" s="1"/>
  <c r="G245" i="2"/>
  <c r="G247" i="2" s="1"/>
  <c r="AE219" i="2"/>
  <c r="AE238" i="2"/>
  <c r="X241" i="2"/>
  <c r="AB350" i="2"/>
  <c r="U238" i="2"/>
  <c r="P178" i="2"/>
  <c r="J422" i="2"/>
  <c r="X490" i="2"/>
  <c r="Y241" i="2"/>
  <c r="S95" i="2"/>
  <c r="Z219" i="2"/>
  <c r="P280" i="2"/>
  <c r="R177" i="2"/>
  <c r="U178" i="2"/>
  <c r="X495" i="2"/>
  <c r="Z237" i="2"/>
  <c r="N490" i="2"/>
  <c r="S496" i="2"/>
  <c r="Y349" i="2"/>
  <c r="Q350" i="2"/>
  <c r="R101" i="2"/>
  <c r="H494" i="2"/>
  <c r="H496" i="2" s="1"/>
  <c r="AE280" i="2"/>
  <c r="L242" i="2"/>
  <c r="X245" i="2"/>
  <c r="AC247" i="2" s="1"/>
  <c r="K489" i="2"/>
  <c r="M490" i="2" s="1"/>
  <c r="AC491" i="2"/>
  <c r="N491" i="2"/>
  <c r="AB218" i="2"/>
  <c r="Q491" i="2"/>
  <c r="W96" i="2"/>
  <c r="P281" i="2"/>
  <c r="Q422" i="2"/>
  <c r="Q424" i="2" s="1"/>
  <c r="O241" i="2"/>
  <c r="AC490" i="2"/>
  <c r="Y44" i="2"/>
  <c r="U42" i="2"/>
  <c r="U43" i="2" s="1"/>
  <c r="AB494" i="2"/>
  <c r="AC495" i="2" s="1"/>
  <c r="Y344" i="2"/>
  <c r="AA96" i="2"/>
  <c r="N100" i="2"/>
  <c r="G228" i="2"/>
  <c r="T490" i="2"/>
  <c r="N241" i="2"/>
  <c r="V96" i="2"/>
  <c r="U94" i="2"/>
  <c r="W95" i="2" s="1"/>
  <c r="X349" i="2"/>
  <c r="Z343" i="2"/>
  <c r="AB344" i="2" s="1"/>
  <c r="AC345" i="2"/>
  <c r="M96" i="2"/>
  <c r="AE409" i="2"/>
  <c r="V345" i="2"/>
  <c r="X344" i="2"/>
  <c r="Q345" i="2"/>
  <c r="G419" i="2"/>
  <c r="R96" i="2"/>
  <c r="X101" i="2"/>
  <c r="T246" i="2"/>
  <c r="E403" i="2"/>
  <c r="AE178" i="2"/>
  <c r="Q242" i="2"/>
  <c r="Z90" i="2"/>
  <c r="D403" i="2"/>
  <c r="U89" i="2"/>
  <c r="V247" i="2"/>
  <c r="Q247" i="2"/>
  <c r="N228" i="2"/>
  <c r="G428" i="2"/>
  <c r="V242" i="2"/>
  <c r="AE177" i="2"/>
  <c r="AE90" i="2"/>
  <c r="AE279" i="2"/>
  <c r="AD305" i="2"/>
  <c r="AD323" i="2"/>
  <c r="P489" i="2"/>
  <c r="U491" i="2" s="1"/>
  <c r="O228" i="2"/>
  <c r="AC323" i="2"/>
  <c r="X491" i="2"/>
  <c r="P240" i="2"/>
  <c r="P242" i="2" s="1"/>
  <c r="I227" i="2"/>
  <c r="W491" i="2"/>
  <c r="T495" i="2"/>
  <c r="AD304" i="2"/>
  <c r="AE386" i="2"/>
  <c r="T331" i="2"/>
  <c r="R491" i="2"/>
  <c r="V354" i="2"/>
  <c r="K314" i="2"/>
  <c r="S491" i="2"/>
  <c r="X228" i="2"/>
  <c r="X496" i="2"/>
  <c r="N242" i="2"/>
  <c r="N95" i="2"/>
  <c r="S419" i="2"/>
  <c r="AD241" i="2"/>
  <c r="N422" i="2"/>
  <c r="N423" i="2" s="1"/>
  <c r="N418" i="2"/>
  <c r="I490" i="2"/>
  <c r="AE223" i="2"/>
  <c r="M237" i="2"/>
  <c r="P94" i="2"/>
  <c r="R95" i="2" s="1"/>
  <c r="P410" i="2"/>
  <c r="AE355" i="2"/>
  <c r="U402" i="2"/>
  <c r="W403" i="2" s="1"/>
  <c r="M404" i="2"/>
  <c r="U38" i="2"/>
  <c r="AD495" i="2"/>
  <c r="AE341" i="2"/>
  <c r="X43" i="2"/>
  <c r="AE222" i="2"/>
  <c r="S96" i="2"/>
  <c r="I354" i="2"/>
  <c r="G404" i="2"/>
  <c r="M330" i="2"/>
  <c r="M241" i="2"/>
  <c r="AC496" i="2"/>
  <c r="V491" i="2"/>
  <c r="U279" i="2"/>
  <c r="V331" i="2"/>
  <c r="Z42" i="2"/>
  <c r="Y43" i="2"/>
  <c r="AC44" i="2"/>
  <c r="I241" i="2"/>
  <c r="AE448" i="2"/>
  <c r="I99" i="2"/>
  <c r="J100" i="2" s="1"/>
  <c r="J241" i="2"/>
  <c r="W177" i="2"/>
  <c r="U240" i="2"/>
  <c r="U241" i="2" s="1"/>
  <c r="K417" i="2"/>
  <c r="R245" i="2"/>
  <c r="R247" i="2" s="1"/>
  <c r="U281" i="2"/>
  <c r="R409" i="2"/>
  <c r="Y228" i="2"/>
  <c r="U280" i="2"/>
  <c r="AA331" i="2"/>
  <c r="AE447" i="2"/>
  <c r="K281" i="2"/>
  <c r="U90" i="2"/>
  <c r="V228" i="2"/>
  <c r="K237" i="2"/>
  <c r="P223" i="2"/>
  <c r="Q404" i="2"/>
  <c r="S241" i="2"/>
  <c r="W242" i="2"/>
  <c r="W496" i="2"/>
  <c r="K238" i="2"/>
  <c r="Y403" i="2"/>
  <c r="P476" i="2"/>
  <c r="F355" i="2"/>
  <c r="R228" i="2"/>
  <c r="AC228" i="2"/>
  <c r="T228" i="2"/>
  <c r="P38" i="2"/>
  <c r="AE383" i="2"/>
  <c r="AD242" i="2"/>
  <c r="AE387" i="2"/>
  <c r="AD246" i="2"/>
  <c r="Z314" i="2"/>
  <c r="M331" i="2"/>
  <c r="T350" i="2"/>
  <c r="S490" i="2"/>
  <c r="W218" i="2"/>
  <c r="N403" i="2"/>
  <c r="W313" i="2"/>
  <c r="U314" i="2"/>
  <c r="AB428" i="2"/>
  <c r="AE417" i="2"/>
  <c r="X419" i="2"/>
  <c r="O95" i="2"/>
  <c r="W350" i="2"/>
  <c r="U410" i="2"/>
  <c r="R475" i="2"/>
  <c r="N331" i="2"/>
  <c r="AE314" i="2"/>
  <c r="W222" i="2"/>
  <c r="F417" i="2"/>
  <c r="F418" i="2" s="1"/>
  <c r="AE38" i="2"/>
  <c r="L419" i="2"/>
  <c r="R89" i="2"/>
  <c r="Y428" i="2"/>
  <c r="M89" i="2"/>
  <c r="P90" i="2"/>
  <c r="N345" i="2"/>
  <c r="AB313" i="2"/>
  <c r="O354" i="2"/>
  <c r="J330" i="2"/>
  <c r="AE410" i="2"/>
  <c r="M491" i="2"/>
  <c r="U417" i="2"/>
  <c r="W418" i="2" s="1"/>
  <c r="AE384" i="2"/>
  <c r="V419" i="2"/>
  <c r="Z38" i="2"/>
  <c r="X227" i="2"/>
  <c r="R331" i="2"/>
  <c r="I330" i="2"/>
  <c r="U313" i="2"/>
  <c r="X418" i="2"/>
  <c r="Z348" i="2"/>
  <c r="Z349" i="2" s="1"/>
  <c r="H386" i="2"/>
  <c r="AE450" i="2"/>
  <c r="V348" i="2"/>
  <c r="AE240" i="2"/>
  <c r="AC101" i="2"/>
  <c r="K387" i="2"/>
  <c r="J418" i="2"/>
  <c r="G422" i="2"/>
  <c r="M313" i="2"/>
  <c r="AE451" i="2"/>
  <c r="R350" i="2"/>
  <c r="AB404" i="2"/>
  <c r="I331" i="2"/>
  <c r="Y423" i="2"/>
  <c r="AE94" i="2"/>
  <c r="AE95" i="2" s="1"/>
  <c r="Q101" i="2"/>
  <c r="AC95" i="2"/>
  <c r="R37" i="2"/>
  <c r="O344" i="2"/>
  <c r="P343" i="2"/>
  <c r="AB383" i="2"/>
  <c r="Z384" i="2"/>
  <c r="U387" i="2"/>
  <c r="I242" i="2"/>
  <c r="I245" i="2"/>
  <c r="I246" i="2" s="1"/>
  <c r="F313" i="2"/>
  <c r="H313" i="2"/>
  <c r="I422" i="2"/>
  <c r="N419" i="2"/>
  <c r="F353" i="2"/>
  <c r="F286" i="2"/>
  <c r="F352" i="2"/>
  <c r="H286" i="2"/>
  <c r="N330" i="2"/>
  <c r="AB99" i="2"/>
  <c r="AB96" i="2"/>
  <c r="U50" i="2"/>
  <c r="W50" i="2"/>
  <c r="AC348" i="2"/>
  <c r="AE348" i="2" s="1"/>
  <c r="AC344" i="2"/>
  <c r="AD344" i="2"/>
  <c r="F237" i="2"/>
  <c r="H237" i="2"/>
  <c r="Z238" i="2"/>
  <c r="N227" i="2"/>
  <c r="T227" i="2"/>
  <c r="O227" i="2"/>
  <c r="S228" i="2"/>
  <c r="R404" i="2"/>
  <c r="S331" i="2"/>
  <c r="J227" i="2"/>
  <c r="Z218" i="2"/>
  <c r="U226" i="2"/>
  <c r="U227" i="2" s="1"/>
  <c r="S227" i="2"/>
  <c r="P226" i="2"/>
  <c r="R227" i="2" s="1"/>
  <c r="O330" i="2"/>
  <c r="U219" i="2"/>
  <c r="L404" i="2"/>
  <c r="W231" i="2"/>
  <c r="U232" i="2"/>
  <c r="Z232" i="2"/>
  <c r="U231" i="2"/>
  <c r="M341" i="2"/>
  <c r="K341" i="2"/>
  <c r="F222" i="2"/>
  <c r="H222" i="2"/>
  <c r="K218" i="2"/>
  <c r="M218" i="2"/>
  <c r="K219" i="2"/>
  <c r="K279" i="2"/>
  <c r="F83" i="2"/>
  <c r="H83" i="2"/>
  <c r="L228" i="2"/>
  <c r="AE489" i="2"/>
  <c r="J95" i="2"/>
  <c r="N96" i="2"/>
  <c r="J90" i="2"/>
  <c r="F218" i="2"/>
  <c r="H218" i="2"/>
  <c r="S428" i="2"/>
  <c r="S404" i="2"/>
  <c r="T403" i="2"/>
  <c r="G196" i="2"/>
  <c r="G279" i="2"/>
  <c r="L178" i="2"/>
  <c r="F176" i="2"/>
  <c r="G178" i="2"/>
  <c r="G280" i="2"/>
  <c r="G278" i="2"/>
  <c r="G198" i="2"/>
  <c r="AC304" i="2"/>
  <c r="AC404" i="2"/>
  <c r="X404" i="2"/>
  <c r="K226" i="2"/>
  <c r="K227" i="2" s="1"/>
  <c r="W404" i="2"/>
  <c r="M349" i="2"/>
  <c r="X403" i="2"/>
  <c r="H341" i="2"/>
  <c r="F341" i="2"/>
  <c r="K342" i="2"/>
  <c r="K37" i="2"/>
  <c r="M37" i="2"/>
  <c r="Y227" i="2"/>
  <c r="AD428" i="2"/>
  <c r="M350" i="2"/>
  <c r="AE402" i="2"/>
  <c r="W428" i="2"/>
  <c r="Z402" i="2"/>
  <c r="AB403" i="2" s="1"/>
  <c r="R222" i="2"/>
  <c r="U223" i="2"/>
  <c r="P222" i="2"/>
  <c r="P475" i="2"/>
  <c r="U476" i="2"/>
  <c r="M228" i="2"/>
  <c r="AD404" i="2"/>
  <c r="P219" i="2"/>
  <c r="P279" i="2"/>
  <c r="P218" i="2"/>
  <c r="R218" i="2"/>
  <c r="V404" i="2"/>
  <c r="K410" i="2"/>
  <c r="K409" i="2"/>
  <c r="J428" i="2"/>
  <c r="O404" i="2"/>
  <c r="J403" i="2"/>
  <c r="R386" i="2"/>
  <c r="P386" i="2"/>
  <c r="U386" i="2"/>
  <c r="W386" i="2"/>
  <c r="U352" i="2"/>
  <c r="W286" i="2"/>
  <c r="U353" i="2"/>
  <c r="U286" i="2"/>
  <c r="U409" i="2"/>
  <c r="W409" i="2"/>
  <c r="I90" i="2"/>
  <c r="E89" i="2"/>
  <c r="D89" i="2"/>
  <c r="AB228" i="2"/>
  <c r="AE429" i="2"/>
  <c r="AE415" i="2"/>
  <c r="AD99" i="2"/>
  <c r="AD100" i="2" s="1"/>
  <c r="AD95" i="2"/>
  <c r="Z280" i="2"/>
  <c r="U429" i="2"/>
  <c r="U415" i="2"/>
  <c r="W415" i="2"/>
  <c r="T247" i="2"/>
  <c r="Y247" i="2"/>
  <c r="Z222" i="2"/>
  <c r="Z223" i="2"/>
  <c r="AB222" i="2"/>
  <c r="H86" i="2"/>
  <c r="F86" i="2"/>
  <c r="E422" i="2"/>
  <c r="E418" i="2"/>
  <c r="O247" i="2"/>
  <c r="K502" i="2"/>
  <c r="M487" i="2"/>
  <c r="K487" i="2"/>
  <c r="K488" i="2"/>
  <c r="Z352" i="2"/>
  <c r="AB286" i="2"/>
  <c r="Z286" i="2"/>
  <c r="Z287" i="2"/>
  <c r="Z353" i="2"/>
  <c r="AB338" i="2"/>
  <c r="AE339" i="2"/>
  <c r="Z339" i="2"/>
  <c r="Z338" i="2"/>
  <c r="AC424" i="2"/>
  <c r="Z489" i="2"/>
  <c r="Z354" i="2"/>
  <c r="K429" i="2"/>
  <c r="K415" i="2"/>
  <c r="M415" i="2"/>
  <c r="Z502" i="2"/>
  <c r="AB487" i="2"/>
  <c r="Z355" i="2"/>
  <c r="AE456" i="2"/>
  <c r="M83" i="2"/>
  <c r="P84" i="2"/>
  <c r="K84" i="2"/>
  <c r="K83" i="2"/>
  <c r="K86" i="2"/>
  <c r="P87" i="2"/>
  <c r="M86" i="2"/>
  <c r="K87" i="2"/>
  <c r="M386" i="2"/>
  <c r="K386" i="2"/>
  <c r="P387" i="2"/>
  <c r="F502" i="2"/>
  <c r="H487" i="2"/>
  <c r="F487" i="2"/>
  <c r="L90" i="2"/>
  <c r="G94" i="2"/>
  <c r="G90" i="2"/>
  <c r="F88" i="2"/>
  <c r="F126" i="2" s="1"/>
  <c r="R428" i="2"/>
  <c r="R403" i="2"/>
  <c r="S403" i="2"/>
  <c r="F37" i="2"/>
  <c r="H37" i="2"/>
  <c r="K38" i="2"/>
  <c r="H404" i="2"/>
  <c r="H428" i="2"/>
  <c r="I403" i="2"/>
  <c r="J419" i="2"/>
  <c r="K402" i="2"/>
  <c r="AC246" i="2"/>
  <c r="AE245" i="2"/>
  <c r="S100" i="2"/>
  <c r="T100" i="2"/>
  <c r="S101" i="2"/>
  <c r="AE303" i="2"/>
  <c r="AE287" i="2"/>
  <c r="AE286" i="2"/>
  <c r="AE353" i="2"/>
  <c r="AE502" i="2"/>
  <c r="AE488" i="2"/>
  <c r="AE487" i="2"/>
  <c r="P355" i="2"/>
  <c r="R341" i="2"/>
  <c r="P342" i="2"/>
  <c r="P341" i="2"/>
  <c r="P352" i="2"/>
  <c r="R286" i="2"/>
  <c r="P286" i="2"/>
  <c r="P353" i="2"/>
  <c r="P287" i="2"/>
  <c r="U287" i="2"/>
  <c r="W228" i="2"/>
  <c r="F344" i="2"/>
  <c r="H344" i="2"/>
  <c r="U354" i="2"/>
  <c r="U330" i="2"/>
  <c r="W330" i="2"/>
  <c r="P502" i="2"/>
  <c r="P487" i="2"/>
  <c r="P488" i="2"/>
  <c r="R487" i="2"/>
  <c r="U488" i="2"/>
  <c r="AD228" i="2"/>
  <c r="AD227" i="2"/>
  <c r="Z50" i="2"/>
  <c r="AE51" i="2"/>
  <c r="AB50" i="2"/>
  <c r="Z51" i="2"/>
  <c r="M222" i="2"/>
  <c r="K223" i="2"/>
  <c r="K280" i="2"/>
  <c r="K222" i="2"/>
  <c r="F354" i="2"/>
  <c r="F330" i="2"/>
  <c r="K331" i="2"/>
  <c r="H330" i="2"/>
  <c r="P313" i="2"/>
  <c r="P314" i="2"/>
  <c r="R313" i="2"/>
  <c r="T101" i="2"/>
  <c r="O101" i="2"/>
  <c r="P99" i="2"/>
  <c r="O100" i="2"/>
  <c r="Z331" i="2"/>
  <c r="Z429" i="2"/>
  <c r="AE416" i="2"/>
  <c r="AB415" i="2"/>
  <c r="P429" i="2"/>
  <c r="P416" i="2"/>
  <c r="U416" i="2"/>
  <c r="R415" i="2"/>
  <c r="P415" i="2"/>
  <c r="K355" i="2"/>
  <c r="M286" i="2"/>
  <c r="K287" i="2"/>
  <c r="K286" i="2"/>
  <c r="K352" i="2"/>
  <c r="K354" i="2"/>
  <c r="S495" i="2"/>
  <c r="R496" i="2"/>
  <c r="E349" i="2"/>
  <c r="D349" i="2"/>
  <c r="F348" i="2"/>
  <c r="Q354" i="2"/>
  <c r="Q331" i="2"/>
  <c r="P329" i="2"/>
  <c r="U331" i="2" s="1"/>
  <c r="AD424" i="2"/>
  <c r="AD423" i="2"/>
  <c r="V101" i="2"/>
  <c r="U99" i="2"/>
  <c r="F429" i="2"/>
  <c r="K416" i="2"/>
  <c r="H415" i="2"/>
  <c r="F415" i="2"/>
  <c r="U355" i="2"/>
  <c r="W341" i="2"/>
  <c r="Z342" i="2"/>
  <c r="U341" i="2"/>
  <c r="U342" i="2"/>
  <c r="AE226" i="2"/>
  <c r="Z226" i="2"/>
  <c r="V496" i="2"/>
  <c r="Q496" i="2"/>
  <c r="P494" i="2"/>
  <c r="Y101" i="2"/>
  <c r="Y100" i="2"/>
  <c r="AE255" i="2"/>
  <c r="AE254" i="2"/>
  <c r="H475" i="2"/>
  <c r="K476" i="2"/>
  <c r="F475" i="2"/>
  <c r="F501" i="2"/>
  <c r="L496" i="2"/>
  <c r="N495" i="2"/>
  <c r="AB241" i="2" l="1"/>
  <c r="AD324" i="2"/>
  <c r="Y246" i="2"/>
  <c r="Z99" i="2"/>
  <c r="Z100" i="2" s="1"/>
  <c r="AA101" i="2"/>
  <c r="AE403" i="2"/>
  <c r="AC423" i="2"/>
  <c r="AE44" i="2"/>
  <c r="AE422" i="2"/>
  <c r="F490" i="2"/>
  <c r="AE242" i="2"/>
  <c r="K95" i="2"/>
  <c r="P348" i="2"/>
  <c r="P349" i="2" s="1"/>
  <c r="N349" i="2"/>
  <c r="I423" i="2"/>
  <c r="U344" i="2"/>
  <c r="Z422" i="2"/>
  <c r="AB423" i="2" s="1"/>
  <c r="N350" i="2"/>
  <c r="P245" i="2"/>
  <c r="R246" i="2" s="1"/>
  <c r="O349" i="2"/>
  <c r="H403" i="2"/>
  <c r="M101" i="2"/>
  <c r="F428" i="2"/>
  <c r="R43" i="2"/>
  <c r="P418" i="2"/>
  <c r="Z344" i="2"/>
  <c r="L247" i="2"/>
  <c r="I350" i="2"/>
  <c r="Z245" i="2"/>
  <c r="Z246" i="2" s="1"/>
  <c r="W43" i="2"/>
  <c r="Z345" i="2"/>
  <c r="R241" i="2"/>
  <c r="O424" i="2"/>
  <c r="Z95" i="2"/>
  <c r="X246" i="2"/>
  <c r="X247" i="2"/>
  <c r="AE345" i="2"/>
  <c r="P241" i="2"/>
  <c r="O496" i="2"/>
  <c r="J496" i="2"/>
  <c r="I349" i="2"/>
  <c r="AB352" i="2"/>
  <c r="AB324" i="2"/>
  <c r="AB325" i="2"/>
  <c r="L424" i="2"/>
  <c r="Z96" i="2"/>
  <c r="O423" i="2"/>
  <c r="AB496" i="2"/>
  <c r="M344" i="2"/>
  <c r="U95" i="2"/>
  <c r="AE494" i="2"/>
  <c r="P95" i="2"/>
  <c r="K345" i="2"/>
  <c r="AB495" i="2"/>
  <c r="J349" i="2"/>
  <c r="U44" i="2"/>
  <c r="P419" i="2"/>
  <c r="Z242" i="2"/>
  <c r="S247" i="2"/>
  <c r="F241" i="2"/>
  <c r="K242" i="2"/>
  <c r="N246" i="2"/>
  <c r="U422" i="2"/>
  <c r="U423" i="2" s="1"/>
  <c r="K491" i="2"/>
  <c r="S424" i="2"/>
  <c r="P422" i="2"/>
  <c r="P423" i="2" s="1"/>
  <c r="M496" i="2"/>
  <c r="I495" i="2"/>
  <c r="K490" i="2"/>
  <c r="K494" i="2"/>
  <c r="M495" i="2" s="1"/>
  <c r="U428" i="2"/>
  <c r="H418" i="2"/>
  <c r="AC352" i="2"/>
  <c r="AE350" i="2"/>
  <c r="AB349" i="2"/>
  <c r="N247" i="2"/>
  <c r="P490" i="2"/>
  <c r="R490" i="2"/>
  <c r="U96" i="2"/>
  <c r="U404" i="2"/>
  <c r="AC324" i="2"/>
  <c r="U245" i="2"/>
  <c r="U246" i="2" s="1"/>
  <c r="Z43" i="2"/>
  <c r="AE419" i="2"/>
  <c r="AC329" i="2"/>
  <c r="AC331" i="2" s="1"/>
  <c r="AC325" i="2"/>
  <c r="U419" i="2"/>
  <c r="AE96" i="2"/>
  <c r="P491" i="2"/>
  <c r="U418" i="2"/>
  <c r="AD325" i="2"/>
  <c r="AD352" i="2"/>
  <c r="AD329" i="2"/>
  <c r="I100" i="2"/>
  <c r="W241" i="2"/>
  <c r="F422" i="2"/>
  <c r="H423" i="2" s="1"/>
  <c r="AE418" i="2"/>
  <c r="U403" i="2"/>
  <c r="P96" i="2"/>
  <c r="U242" i="2"/>
  <c r="K99" i="2"/>
  <c r="P101" i="2" s="1"/>
  <c r="N101" i="2"/>
  <c r="J246" i="2"/>
  <c r="S246" i="2"/>
  <c r="W247" i="2"/>
  <c r="P228" i="2"/>
  <c r="Z44" i="2"/>
  <c r="K422" i="2"/>
  <c r="K418" i="2"/>
  <c r="M418" i="2"/>
  <c r="P227" i="2"/>
  <c r="AB43" i="2"/>
  <c r="K419" i="2"/>
  <c r="AE241" i="2"/>
  <c r="AE428" i="2"/>
  <c r="U348" i="2"/>
  <c r="V350" i="2"/>
  <c r="AA350" i="2"/>
  <c r="K245" i="2"/>
  <c r="P344" i="2"/>
  <c r="P345" i="2"/>
  <c r="U345" i="2"/>
  <c r="R344" i="2"/>
  <c r="AE404" i="2"/>
  <c r="AD349" i="2"/>
  <c r="AC350" i="2"/>
  <c r="M227" i="2"/>
  <c r="U228" i="2"/>
  <c r="AC100" i="2"/>
  <c r="AB101" i="2"/>
  <c r="AC349" i="2"/>
  <c r="N424" i="2"/>
  <c r="I424" i="2"/>
  <c r="J423" i="2"/>
  <c r="W227" i="2"/>
  <c r="AE349" i="2"/>
  <c r="H177" i="2"/>
  <c r="F177" i="2"/>
  <c r="F278" i="2"/>
  <c r="F280" i="2"/>
  <c r="F281" i="2"/>
  <c r="K178" i="2"/>
  <c r="F279" i="2"/>
  <c r="J96" i="2"/>
  <c r="E99" i="2"/>
  <c r="J101" i="2" s="1"/>
  <c r="AE490" i="2"/>
  <c r="AD101" i="2"/>
  <c r="AE99" i="2"/>
  <c r="AE100" i="2" s="1"/>
  <c r="AB331" i="2"/>
  <c r="AB330" i="2"/>
  <c r="AB354" i="2"/>
  <c r="J424" i="2"/>
  <c r="I96" i="2"/>
  <c r="D95" i="2"/>
  <c r="D99" i="2"/>
  <c r="E95" i="2"/>
  <c r="H495" i="2"/>
  <c r="AE246" i="2"/>
  <c r="F89" i="2"/>
  <c r="H89" i="2"/>
  <c r="K90" i="2"/>
  <c r="AB490" i="2"/>
  <c r="AE491" i="2"/>
  <c r="AE305" i="2"/>
  <c r="AE304" i="2"/>
  <c r="K428" i="2"/>
  <c r="K404" i="2"/>
  <c r="K403" i="2"/>
  <c r="M403" i="2"/>
  <c r="AE323" i="2"/>
  <c r="G96" i="2"/>
  <c r="F94" i="2"/>
  <c r="G99" i="2"/>
  <c r="L96" i="2"/>
  <c r="Z228" i="2"/>
  <c r="Z227" i="2"/>
  <c r="AB227" i="2"/>
  <c r="P100" i="2"/>
  <c r="R100" i="2"/>
  <c r="AE227" i="2"/>
  <c r="AE228" i="2"/>
  <c r="F349" i="2"/>
  <c r="K350" i="2"/>
  <c r="H349" i="2"/>
  <c r="P495" i="2"/>
  <c r="U496" i="2"/>
  <c r="W100" i="2"/>
  <c r="U100" i="2"/>
  <c r="U101" i="2"/>
  <c r="R330" i="2"/>
  <c r="P354" i="2"/>
  <c r="P331" i="2"/>
  <c r="P330" i="2"/>
  <c r="R495" i="2"/>
  <c r="AB100" i="2" l="1"/>
  <c r="AE496" i="2"/>
  <c r="Z101" i="2"/>
  <c r="AE423" i="2"/>
  <c r="P350" i="2"/>
  <c r="AE424" i="2"/>
  <c r="AE247" i="2"/>
  <c r="P246" i="2"/>
  <c r="P247" i="2"/>
  <c r="AB246" i="2"/>
  <c r="AE495" i="2"/>
  <c r="AD330" i="2"/>
  <c r="W423" i="2"/>
  <c r="K496" i="2"/>
  <c r="P496" i="2"/>
  <c r="K495" i="2"/>
  <c r="P424" i="2"/>
  <c r="U247" i="2"/>
  <c r="AC354" i="2"/>
  <c r="AC330" i="2"/>
  <c r="M100" i="2"/>
  <c r="AE329" i="2"/>
  <c r="K100" i="2"/>
  <c r="W246" i="2"/>
  <c r="Z247" i="2"/>
  <c r="AD354" i="2"/>
  <c r="AD331" i="2"/>
  <c r="K424" i="2"/>
  <c r="M423" i="2"/>
  <c r="K423" i="2"/>
  <c r="U349" i="2"/>
  <c r="Z350" i="2"/>
  <c r="W349" i="2"/>
  <c r="K246" i="2"/>
  <c r="M246" i="2"/>
  <c r="AE101" i="2"/>
  <c r="I101" i="2"/>
  <c r="E100" i="2"/>
  <c r="D100" i="2"/>
  <c r="F99" i="2"/>
  <c r="G101" i="2"/>
  <c r="L101" i="2"/>
  <c r="F95" i="2"/>
  <c r="H95" i="2"/>
  <c r="K96" i="2"/>
  <c r="AE324" i="2"/>
  <c r="AE352" i="2"/>
  <c r="AE325" i="2"/>
  <c r="AE330" i="2" l="1"/>
  <c r="AE331" i="2"/>
  <c r="AE354" i="2"/>
  <c r="F100" i="2"/>
  <c r="H100" i="2"/>
  <c r="K101" i="2"/>
  <c r="AA32" i="7"/>
</calcChain>
</file>

<file path=xl/sharedStrings.xml><?xml version="1.0" encoding="utf-8"?>
<sst xmlns="http://schemas.openxmlformats.org/spreadsheetml/2006/main" count="4056" uniqueCount="285">
  <si>
    <t>Q2</t>
  </si>
  <si>
    <t>Q3</t>
  </si>
  <si>
    <t>Q4</t>
  </si>
  <si>
    <t>Pelephone</t>
  </si>
  <si>
    <t>Bezeq The Israel Telecommunication Corp. Limited</t>
  </si>
  <si>
    <t>FY</t>
  </si>
  <si>
    <t xml:space="preserve">Q1 </t>
  </si>
  <si>
    <t>QoQ Change</t>
  </si>
  <si>
    <t>YoY Change</t>
  </si>
  <si>
    <t>EBITDA</t>
  </si>
  <si>
    <t>EBITDA margin</t>
  </si>
  <si>
    <t>Depreciation &amp; amortization</t>
  </si>
  <si>
    <t>Operating cash flow</t>
  </si>
  <si>
    <t>Free cash flow</t>
  </si>
  <si>
    <t>Net debt</t>
  </si>
  <si>
    <t>Bezeq International</t>
  </si>
  <si>
    <t>Revenues</t>
  </si>
  <si>
    <t>Total debt</t>
  </si>
  <si>
    <t xml:space="preserve">Number of employees </t>
  </si>
  <si>
    <t>Capex/Sales</t>
  </si>
  <si>
    <t>Ratios</t>
  </si>
  <si>
    <t>yes</t>
  </si>
  <si>
    <t xml:space="preserve">Bezeq Investor Relations </t>
  </si>
  <si>
    <t>www.bezeq.co.il</t>
  </si>
  <si>
    <t>For further information:</t>
  </si>
  <si>
    <t>Phone     +9722 539 5441</t>
  </si>
  <si>
    <t>Key Cash Flow Metrics</t>
  </si>
  <si>
    <t>Key Performance Indicators</t>
  </si>
  <si>
    <t>Index of contents</t>
  </si>
  <si>
    <t>Key Income Statement Metrics</t>
  </si>
  <si>
    <t>Operating margin</t>
  </si>
  <si>
    <t>Earnings Per Share - Basic</t>
  </si>
  <si>
    <t>Earnings Per Share - Diluted</t>
  </si>
  <si>
    <t>Shares Outstanding - Diluted</t>
  </si>
  <si>
    <t xml:space="preserve">Shares Outstanding - Basic </t>
  </si>
  <si>
    <t>ARPU</t>
  </si>
  <si>
    <t>=</t>
  </si>
  <si>
    <t>MOU</t>
  </si>
  <si>
    <t>Net margin</t>
  </si>
  <si>
    <t>Glossary</t>
  </si>
  <si>
    <t>ir@bezeq.co.il</t>
  </si>
  <si>
    <t>Net profit</t>
  </si>
  <si>
    <t>Operating profit</t>
  </si>
  <si>
    <t>N/M</t>
  </si>
  <si>
    <t>N/A</t>
  </si>
  <si>
    <t xml:space="preserve">                                      (NIS millions, except for EPS)</t>
  </si>
  <si>
    <t xml:space="preserve">Ratios </t>
  </si>
  <si>
    <t xml:space="preserve">Total incoming minutes (in millions) </t>
  </si>
  <si>
    <t>NM</t>
  </si>
  <si>
    <t>Capital expenditures, gross (accounting)</t>
  </si>
  <si>
    <t>Capital expenditures, gross (cash flow)</t>
  </si>
  <si>
    <t>Capital expenditures, net (cash flow)</t>
  </si>
  <si>
    <t xml:space="preserve">N/A </t>
  </si>
  <si>
    <t xml:space="preserve">GLOSSARY </t>
  </si>
  <si>
    <r>
      <t>Free cash flow</t>
    </r>
    <r>
      <rPr>
        <b/>
        <vertAlign val="superscript"/>
        <sz val="10"/>
        <rFont val="Arial"/>
        <family val="2"/>
      </rPr>
      <t xml:space="preserve"> </t>
    </r>
  </si>
  <si>
    <t>Bezeq Fixed-Line</t>
  </si>
  <si>
    <t xml:space="preserve">Q2 </t>
  </si>
  <si>
    <t>Net capital expenditures</t>
  </si>
  <si>
    <t>Average revenue per user</t>
  </si>
  <si>
    <t>Minutes of use</t>
  </si>
  <si>
    <t>Not available</t>
  </si>
  <si>
    <t>Not meaningful</t>
  </si>
  <si>
    <t>Total Revenues</t>
  </si>
  <si>
    <t>Service Revenues</t>
  </si>
  <si>
    <t>Equipment Revenues</t>
  </si>
  <si>
    <t xml:space="preserve">Operating cash flow </t>
  </si>
  <si>
    <t xml:space="preserve">Free cash flow </t>
  </si>
  <si>
    <r>
      <t>Capital expenditures, net (cash flow)</t>
    </r>
    <r>
      <rPr>
        <b/>
        <vertAlign val="superscript"/>
        <sz val="10"/>
        <rFont val="Arial"/>
        <family val="2"/>
      </rPr>
      <t xml:space="preserve"> </t>
    </r>
  </si>
  <si>
    <t xml:space="preserve">Capital expenditures, gross (cash flow) </t>
  </si>
  <si>
    <t xml:space="preserve">Capital expenditures, gross (accounting) </t>
  </si>
  <si>
    <t>Average broadband speed per subscriber (end of period, Mbps)</t>
  </si>
  <si>
    <t>ARPL</t>
  </si>
  <si>
    <t>Average revenue per line</t>
  </si>
  <si>
    <t>Purchase of property, plant &amp; equipment (PPE), plus investments in intangible assets, less proceeds from the sale of PPE</t>
  </si>
  <si>
    <t xml:space="preserve">Subscribers (in 000's) </t>
  </si>
  <si>
    <t xml:space="preserve">ARPU (in NIS) </t>
  </si>
  <si>
    <t xml:space="preserve">Key Income Statement Metrics </t>
  </si>
  <si>
    <t xml:space="preserve">Key Cash Flow Metrics </t>
  </si>
  <si>
    <t>Total outgoing minutes (in millions)</t>
  </si>
  <si>
    <t xml:space="preserve">Total access lines (in 000's) </t>
  </si>
  <si>
    <t xml:space="preserve">ARPL - Voice &amp; fixed fees (in NIS) </t>
  </si>
  <si>
    <t>Salaries</t>
  </si>
  <si>
    <t>Key Income Statement Metrics (Revenues)</t>
  </si>
  <si>
    <t>Cost of sales</t>
  </si>
  <si>
    <t>Sales &amp; marketing expenses</t>
  </si>
  <si>
    <t>General &amp; administrative expenses</t>
  </si>
  <si>
    <t>Operating &amp; general expenses</t>
  </si>
  <si>
    <r>
      <t xml:space="preserve">Bezeq Fixed-Line </t>
    </r>
    <r>
      <rPr>
        <b/>
        <sz val="12"/>
        <rFont val="Arial"/>
        <family val="2"/>
      </rPr>
      <t>(cont'd)</t>
    </r>
  </si>
  <si>
    <t>Interconnect &amp; payments to telecom operators</t>
  </si>
  <si>
    <t>Terminal equipment &amp; materials</t>
  </si>
  <si>
    <t>Maintenance of buildings and sites</t>
  </si>
  <si>
    <t>Services and maintenance by sub-contractors</t>
  </si>
  <si>
    <t xml:space="preserve">Vehicle maintenance </t>
  </si>
  <si>
    <t>Finance expenses (income), net</t>
  </si>
  <si>
    <t>Q1</t>
  </si>
  <si>
    <t xml:space="preserve">Total general &amp; operating expenses </t>
  </si>
  <si>
    <r>
      <t xml:space="preserve">Bezeq Group </t>
    </r>
    <r>
      <rPr>
        <b/>
        <vertAlign val="superscript"/>
        <sz val="10"/>
        <rFont val="Arial"/>
        <family val="2"/>
      </rPr>
      <t>(1)</t>
    </r>
  </si>
  <si>
    <t xml:space="preserve">Salaries </t>
  </si>
  <si>
    <r>
      <t>Bezeq Group</t>
    </r>
    <r>
      <rPr>
        <b/>
        <sz val="11"/>
        <rFont val="Arial"/>
        <family val="2"/>
      </rPr>
      <t xml:space="preserve"> (cont'd)</t>
    </r>
  </si>
  <si>
    <t>Total operating &amp; general expenses</t>
  </si>
  <si>
    <t>Vehicle maintenance</t>
  </si>
  <si>
    <t>Marketing &amp; general</t>
  </si>
  <si>
    <t>Other operating expenses (income)</t>
  </si>
  <si>
    <t>Dividend History</t>
  </si>
  <si>
    <t>Gross profit</t>
  </si>
  <si>
    <t>April 16, 2006</t>
  </si>
  <si>
    <t>Dividend per share (NIS)</t>
  </si>
  <si>
    <t>October 30, 2006</t>
  </si>
  <si>
    <t>January 9, 2007</t>
  </si>
  <si>
    <t>February 26, 2007</t>
  </si>
  <si>
    <t>October 15, 2007</t>
  </si>
  <si>
    <t>April 28, 2008</t>
  </si>
  <si>
    <t>October 29, 2008</t>
  </si>
  <si>
    <t>May 24, 2009</t>
  </si>
  <si>
    <t>October 5, 2009</t>
  </si>
  <si>
    <t>May 3, 2010</t>
  </si>
  <si>
    <t>October 7, 2010</t>
  </si>
  <si>
    <t>May 19, 2011</t>
  </si>
  <si>
    <t>October 5, 2011</t>
  </si>
  <si>
    <t>May 21, 2012</t>
  </si>
  <si>
    <t>October 10, 2012</t>
  </si>
  <si>
    <t>May 13, 2013</t>
  </si>
  <si>
    <t>September 15, 2013</t>
  </si>
  <si>
    <t>Bezeq Group Dividends</t>
  </si>
  <si>
    <t>Dividend Distribution date</t>
  </si>
  <si>
    <t>Total Amount (NIS m)</t>
  </si>
  <si>
    <t>Dividend Type</t>
  </si>
  <si>
    <t>Semi-Annual Dividend</t>
  </si>
  <si>
    <t>Special Dividend (1 of 6)</t>
  </si>
  <si>
    <t>Special Dividend (6 of 6)</t>
  </si>
  <si>
    <t>Special Dividend (5 of 6)</t>
  </si>
  <si>
    <t>Special Dividend (4 of 6)</t>
  </si>
  <si>
    <t>Special Dividend (3 of 6)</t>
  </si>
  <si>
    <t>Special Dividend (2 of 6)</t>
  </si>
  <si>
    <t>Special Dividend</t>
  </si>
  <si>
    <t>Number of employees</t>
  </si>
  <si>
    <t>Operating &amp; General Expenses</t>
  </si>
  <si>
    <t>Revenues from Residential Customers</t>
  </si>
  <si>
    <t>Revenues from Business Customers</t>
  </si>
  <si>
    <t>% of total revenues</t>
  </si>
  <si>
    <t>Revenues from Private Customers</t>
  </si>
  <si>
    <t>Revenues from ILD services</t>
  </si>
  <si>
    <t>Revenues from Internet, Data &amp; ICT services</t>
  </si>
  <si>
    <t>April 23, 2014</t>
  </si>
  <si>
    <t>Collection fees (royalties)</t>
  </si>
  <si>
    <t>October 2, 2014</t>
  </si>
  <si>
    <t>May 27, 2015</t>
  </si>
  <si>
    <t>-</t>
  </si>
  <si>
    <t>Broadband Internet lines (in 000's)-Wholesale</t>
  </si>
  <si>
    <t xml:space="preserve">Total Subscribers (in 000's) </t>
  </si>
  <si>
    <t xml:space="preserve">Prepaid Subscribers (in 000's) </t>
  </si>
  <si>
    <t>Broadband Internet lines (in 000's)- Total</t>
  </si>
  <si>
    <t>Broadband Internet ARPU (in NIS) - Retail</t>
  </si>
  <si>
    <t>Share in (losses) profits of equity accounted investees</t>
  </si>
  <si>
    <r>
      <rPr>
        <vertAlign val="superscript"/>
        <sz val="10"/>
        <rFont val="Arial"/>
        <family val="2"/>
      </rPr>
      <t xml:space="preserve">(1) </t>
    </r>
    <r>
      <rPr>
        <sz val="8"/>
        <rFont val="Arial"/>
        <family val="2"/>
      </rPr>
      <t>The Bezeq Group's financial data includes yes balance sheet data as of Q1 2015 and income statement and cash flow data as of Q2 2015.</t>
    </r>
  </si>
  <si>
    <t>October 26, 2015</t>
  </si>
  <si>
    <t>Market share</t>
  </si>
  <si>
    <t>Market share - Internet</t>
  </si>
  <si>
    <t>Market share - ISP</t>
  </si>
  <si>
    <t>Market share - ILD (Outgoing)</t>
  </si>
  <si>
    <t>Mkt share</t>
  </si>
  <si>
    <t>Market share - telephony (private sector)</t>
  </si>
  <si>
    <t>Churn rate</t>
  </si>
  <si>
    <t xml:space="preserve">Churn rate </t>
  </si>
  <si>
    <t>Market share - telephony (business sector)</t>
  </si>
  <si>
    <t xml:space="preserve">Semi-Annual Dividend </t>
  </si>
  <si>
    <t xml:space="preserve"> </t>
  </si>
  <si>
    <t>Other operating expenses</t>
  </si>
  <si>
    <t>Churn rate  (ISP)</t>
  </si>
  <si>
    <t>Churn rate (telephony)</t>
  </si>
  <si>
    <t>Profit before finance exps to shareholders &amp; taxes</t>
  </si>
  <si>
    <t>Net profit (loss)</t>
  </si>
  <si>
    <t>Total changes in assets and liabilities</t>
  </si>
  <si>
    <t>Change in trade &amp; other receivables</t>
  </si>
  <si>
    <t>Change in inventory</t>
  </si>
  <si>
    <t>Change in trade &amp; other payables</t>
  </si>
  <si>
    <t>Change in provisions</t>
  </si>
  <si>
    <t>Change in employee benefits</t>
  </si>
  <si>
    <t>Income tax paid, net</t>
  </si>
  <si>
    <t>Interest paid</t>
  </si>
  <si>
    <t>NIS Millions</t>
  </si>
  <si>
    <t>Bezeq Group</t>
  </si>
  <si>
    <t>Other Operating Expenses (Income), Net</t>
  </si>
  <si>
    <t>Profit from increase to controlling stake in Yes</t>
  </si>
  <si>
    <t>Profit from the sale of shares in Coral Tel Ltd.</t>
  </si>
  <si>
    <t>Profit from the sale of property, plant and equipment (mainly real estate)*</t>
  </si>
  <si>
    <t>Proft from copper sales</t>
  </si>
  <si>
    <t>Provision (cancellation)-contingent liabilities, net</t>
  </si>
  <si>
    <t>Provision for early retirement</t>
  </si>
  <si>
    <t>Expenses for a collective agreement at Pelephone</t>
  </si>
  <si>
    <t>Loss from the discontinuation of a software development project</t>
  </si>
  <si>
    <t>Total other operating expenses (income), net</t>
  </si>
  <si>
    <t>* Includes profit from copper sales beginning Q1 2015</t>
  </si>
  <si>
    <t>Financials</t>
  </si>
  <si>
    <t>Other income / expenses</t>
  </si>
  <si>
    <t>Key Performance Indicators (KPIs)</t>
  </si>
  <si>
    <t>Dividends</t>
  </si>
  <si>
    <t xml:space="preserve">Sheet IV-  </t>
  </si>
  <si>
    <t xml:space="preserve">Sheet III- </t>
  </si>
  <si>
    <t xml:space="preserve">Sheet II- </t>
  </si>
  <si>
    <t xml:space="preserve">Sheet I-  </t>
  </si>
  <si>
    <t>October 6, 2016</t>
  </si>
  <si>
    <t>Income taxes</t>
  </si>
  <si>
    <t>The data in this metrics file contains partial information from the public reports of Bezeq under the Israeli Securities Law for which the Hebrew reports can be accessed at the Israeli Securities Authority's website.  The metrics file is a not a substitute for a review of the detailed reports of Bezeq.</t>
  </si>
  <si>
    <t xml:space="preserve">Sheet V-  </t>
  </si>
  <si>
    <t>Change in other liabilities (incl broadcasting rights)</t>
  </si>
  <si>
    <t>Adjusted EBITDA</t>
  </si>
  <si>
    <t>Broadband Internet lines (in 000's) - Retail</t>
  </si>
  <si>
    <t>EBITDA, reported</t>
  </si>
  <si>
    <t xml:space="preserve">Capital expenditures, net </t>
  </si>
  <si>
    <t xml:space="preserve">Content </t>
  </si>
  <si>
    <t>May 29, 2017</t>
  </si>
  <si>
    <t>Average revenue per line (ARPL) (in NIS)</t>
  </si>
  <si>
    <t>QoQ Line change (000's)</t>
  </si>
  <si>
    <t>QoQ subscriber change (000's)</t>
  </si>
  <si>
    <t>October 16, 2017</t>
  </si>
  <si>
    <t>Cash &amp; cash equivalents</t>
  </si>
  <si>
    <t>Investments</t>
  </si>
  <si>
    <t>Trade receivables</t>
  </si>
  <si>
    <t>Other receivables</t>
  </si>
  <si>
    <t>Eurocom DBS Ltd., related party</t>
  </si>
  <si>
    <t>Inventory</t>
  </si>
  <si>
    <t>Total current assets</t>
  </si>
  <si>
    <t>Trade and other receivables</t>
  </si>
  <si>
    <t>Broadcasting rights</t>
  </si>
  <si>
    <t>Fixed assets</t>
  </si>
  <si>
    <t>Intangible assets</t>
  </si>
  <si>
    <t>Deferred tax assets</t>
  </si>
  <si>
    <t>Deferred expenses and non-current investments</t>
  </si>
  <si>
    <t>Total non-current assets</t>
  </si>
  <si>
    <t>Total assets</t>
  </si>
  <si>
    <t>Debentures, loans and borrowings</t>
  </si>
  <si>
    <t>Trade and other payables</t>
  </si>
  <si>
    <t>Current tax liabilities</t>
  </si>
  <si>
    <t>Liability to Eurocom DBS Ltd.</t>
  </si>
  <si>
    <t>Employee benefits</t>
  </si>
  <si>
    <t>Provisions</t>
  </si>
  <si>
    <t>Dividend payable</t>
  </si>
  <si>
    <t>Total current liabilities</t>
  </si>
  <si>
    <t>Total non-current liabilities</t>
  </si>
  <si>
    <t>Total equity</t>
  </si>
  <si>
    <t>Loans and debentures</t>
  </si>
  <si>
    <t>Derivative and other liabilities</t>
  </si>
  <si>
    <t>Deferred tax liabilities</t>
  </si>
  <si>
    <t>Working Capital</t>
  </si>
  <si>
    <t xml:space="preserve">Balance Sheet </t>
  </si>
  <si>
    <t>Proceeds from sale of assets</t>
  </si>
  <si>
    <t xml:space="preserve">Broadband Internet </t>
  </si>
  <si>
    <t xml:space="preserve">Telephony </t>
  </si>
  <si>
    <t xml:space="preserve">Other </t>
  </si>
  <si>
    <t xml:space="preserve">Transmission &amp; data </t>
  </si>
  <si>
    <t>Cloud &amp; digital services</t>
  </si>
  <si>
    <t>Loss from impairment of assets</t>
  </si>
  <si>
    <t>May 10, 2018</t>
  </si>
  <si>
    <t>Earnings Before Interest, Taxes, Depreciation &amp; Amortization ; ttm = trailing twelve months</t>
  </si>
  <si>
    <t>Funds From Operations (FFO)</t>
  </si>
  <si>
    <t>FFO</t>
  </si>
  <si>
    <t>Operating cash flows less net capital expenditures and lease payments</t>
  </si>
  <si>
    <t>Lease liability</t>
  </si>
  <si>
    <t>Right-of-use assets</t>
  </si>
  <si>
    <t>EBITDA reported</t>
  </si>
  <si>
    <t xml:space="preserve">Lease payments (IFRS 16) </t>
  </si>
  <si>
    <t>Adjusted EBITDA (excluding IFRS 16)</t>
  </si>
  <si>
    <t>EBITDA excluding adoption of IFRS 16 and other operating income/expenses</t>
  </si>
  <si>
    <t xml:space="preserve">Cash flow from operating activities less changes in working capital and payments for leases </t>
  </si>
  <si>
    <t>October 10, 2018</t>
  </si>
  <si>
    <t>Investment property</t>
  </si>
  <si>
    <t xml:space="preserve">Postpaid Subscribers (in 000's) </t>
  </si>
  <si>
    <t>Bezeq Facts &amp; Figures Q4 &amp; FY 2018</t>
  </si>
  <si>
    <t>Three months and year ending December 31, 2018</t>
  </si>
  <si>
    <t>Wholesale lines as % of total broadband lines</t>
  </si>
  <si>
    <t>Net profit, reported</t>
  </si>
  <si>
    <t>ADJUSTED EBITDA (excluding IFRS 16)</t>
  </si>
  <si>
    <r>
      <t>Depreciation &amp; amortization</t>
    </r>
    <r>
      <rPr>
        <b/>
        <sz val="8"/>
        <rFont val="Arial"/>
        <family val="2"/>
      </rPr>
      <t xml:space="preserve"> </t>
    </r>
  </si>
  <si>
    <r>
      <t>ADJUSTED net profit</t>
    </r>
    <r>
      <rPr>
        <b/>
        <sz val="8"/>
        <rFont val="Arial"/>
        <family val="2"/>
      </rPr>
      <t xml:space="preserve">  (excluding other operating income/expenses)</t>
    </r>
  </si>
  <si>
    <t>Operating profit (loss)</t>
  </si>
  <si>
    <r>
      <t xml:space="preserve">ADJUSTED EBITDA </t>
    </r>
    <r>
      <rPr>
        <b/>
        <sz val="8"/>
        <rFont val="Arial"/>
        <family val="2"/>
      </rPr>
      <t>(excluding IFRS 16 and other operating income/expenses)</t>
    </r>
  </si>
  <si>
    <r>
      <t>ADJUSTED EBITDA</t>
    </r>
    <r>
      <rPr>
        <b/>
        <sz val="9"/>
        <rFont val="Arial"/>
        <family val="2"/>
      </rPr>
      <t xml:space="preserve"> (excluding IFRS 16)</t>
    </r>
  </si>
  <si>
    <t>Profit from the sale of affiliate</t>
  </si>
  <si>
    <t>Other operating expenses (income), net</t>
  </si>
  <si>
    <t>Net debt / Adjusted EBITDA (ttm)</t>
  </si>
  <si>
    <t>Adjusted EBITDA (excl. IFRS 16 &amp; impairment)</t>
  </si>
  <si>
    <t>Other (mainly legal claims)</t>
  </si>
  <si>
    <t>ADJUSTED EBITDA (excluding IFRS 16, other operating income/expenses and impairment)</t>
  </si>
  <si>
    <r>
      <t>ADJUSTED net profit</t>
    </r>
    <r>
      <rPr>
        <b/>
        <sz val="8"/>
        <rFont val="Arial"/>
        <family val="2"/>
      </rPr>
      <t xml:space="preserve"> </t>
    </r>
    <r>
      <rPr>
        <b/>
        <sz val="9"/>
        <rFont val="Arial"/>
        <family val="2"/>
      </rPr>
      <t>(excluding other operating income/expenses and impairment)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</si>
</sst>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 #,##0.00_ ;_ * \-#,##0.00_ ;_ * &quot;-&quot;??_ ;_ @_ "/>
    <numFmt numFmtId="164" formatCode="0.0"/>
    <numFmt numFmtId="165" formatCode="_ * #,##0_ ;_ * \-#,##0_ ;_ * &quot;-&quot;??_ ;_ @_ "/>
    <numFmt numFmtId="166" formatCode="0.0%"/>
    <numFmt numFmtId="167" formatCode="[$-809]dd\ mmmm\ yyyy;@"/>
    <numFmt numFmtId="168" formatCode="#,##0;\(#,##0\)"/>
    <numFmt numFmtId="169" formatCode="[$-409]mmmm\ d\,\ yyyy;@"/>
    <numFmt numFmtId="170" formatCode="0.0%;\(0.0%\)"/>
    <numFmt numFmtId="171" formatCode="#,##0.00;\(#,##0.00\)"/>
  </numFmts>
  <fonts count="49">
    <font>
      <sz val="10"/>
      <name val="Arial"/>
      <charset val="177"/>
    </font>
    <font>
      <sz val="10"/>
      <name val="Arial"/>
      <family val="2"/>
    </font>
    <font>
      <b/>
      <sz val="10"/>
      <name val="Arial"/>
      <family val="2"/>
      <charset val="177"/>
    </font>
    <font>
      <b/>
      <u/>
      <sz val="10"/>
      <name val="Arial"/>
      <family val="2"/>
      <charset val="177"/>
    </font>
    <font>
      <sz val="8"/>
      <name val="Arial"/>
      <family val="2"/>
    </font>
    <font>
      <b/>
      <sz val="10"/>
      <name val="Arial"/>
      <family val="2"/>
    </font>
    <font>
      <sz val="10"/>
      <name val="Arial"/>
      <family val="2"/>
    </font>
    <font>
      <b/>
      <u/>
      <sz val="10"/>
      <name val="Arial"/>
      <family val="2"/>
    </font>
    <font>
      <b/>
      <sz val="12"/>
      <name val="Arial"/>
      <family val="2"/>
    </font>
    <font>
      <b/>
      <sz val="10"/>
      <color indexed="12"/>
      <name val="Arial"/>
      <family val="2"/>
    </font>
    <font>
      <u/>
      <sz val="10"/>
      <color indexed="12"/>
      <name val="Arial"/>
      <family val="2"/>
    </font>
    <font>
      <i/>
      <sz val="8"/>
      <name val="Arial"/>
      <family val="2"/>
    </font>
    <font>
      <i/>
      <sz val="10"/>
      <name val="Arial"/>
      <family val="2"/>
    </font>
    <font>
      <i/>
      <sz val="9"/>
      <name val="Arial"/>
      <family val="2"/>
    </font>
    <font>
      <sz val="10"/>
      <color indexed="20"/>
      <name val="Arial"/>
      <family val="2"/>
    </font>
    <font>
      <u/>
      <sz val="10"/>
      <name val="Arial"/>
      <family val="2"/>
    </font>
    <font>
      <i/>
      <sz val="8"/>
      <name val="Arial"/>
      <family val="2"/>
    </font>
    <font>
      <b/>
      <sz val="10"/>
      <color indexed="20"/>
      <name val="Arial"/>
      <family val="2"/>
    </font>
    <font>
      <sz val="10"/>
      <name val="KPN Sans"/>
      <family val="2"/>
    </font>
    <font>
      <b/>
      <sz val="11"/>
      <name val="KPN Sans"/>
      <family val="2"/>
    </font>
    <font>
      <b/>
      <sz val="10"/>
      <name val="KPN Sans"/>
      <family val="2"/>
    </font>
    <font>
      <b/>
      <i/>
      <sz val="9"/>
      <color indexed="8"/>
      <name val="KPN Arial"/>
      <family val="2"/>
    </font>
    <font>
      <sz val="9"/>
      <name val="KPN Sans"/>
      <family val="2"/>
    </font>
    <font>
      <sz val="9"/>
      <color indexed="8"/>
      <name val="KPN Arial"/>
    </font>
    <font>
      <sz val="10"/>
      <color indexed="8"/>
      <name val="KPN Arial"/>
    </font>
    <font>
      <b/>
      <sz val="20"/>
      <name val="Arial"/>
      <family val="2"/>
    </font>
    <font>
      <b/>
      <sz val="24"/>
      <name val="Arial Narrow"/>
      <family val="2"/>
    </font>
    <font>
      <sz val="10"/>
      <name val="Arial Narrow"/>
      <family val="2"/>
    </font>
    <font>
      <sz val="12"/>
      <name val="Arial Narrow"/>
      <family val="2"/>
    </font>
    <font>
      <b/>
      <u/>
      <sz val="12"/>
      <name val="Arial Narrow"/>
      <family val="2"/>
    </font>
    <font>
      <b/>
      <sz val="12"/>
      <name val="Arial Narrow"/>
      <family val="2"/>
    </font>
    <font>
      <b/>
      <i/>
      <sz val="9"/>
      <name val="Arial"/>
      <family val="2"/>
    </font>
    <font>
      <b/>
      <sz val="16"/>
      <name val="Arial"/>
      <family val="2"/>
    </font>
    <font>
      <i/>
      <sz val="8"/>
      <color indexed="8"/>
      <name val="Arial"/>
      <family val="2"/>
    </font>
    <font>
      <b/>
      <i/>
      <sz val="10"/>
      <name val="Arial"/>
      <family val="2"/>
    </font>
    <font>
      <b/>
      <sz val="18"/>
      <name val="Arial"/>
      <family val="2"/>
    </font>
    <font>
      <sz val="10"/>
      <color indexed="8"/>
      <name val="Arial"/>
      <family val="2"/>
    </font>
    <font>
      <b/>
      <vertAlign val="superscript"/>
      <sz val="10"/>
      <name val="Arial"/>
      <family val="2"/>
    </font>
    <font>
      <vertAlign val="superscript"/>
      <sz val="11"/>
      <name val="Arial"/>
      <family val="2"/>
    </font>
    <font>
      <b/>
      <sz val="8"/>
      <name val="Arial"/>
      <family val="2"/>
    </font>
    <font>
      <vertAlign val="superscript"/>
      <sz val="10"/>
      <name val="Arial"/>
      <family val="2"/>
    </font>
    <font>
      <vertAlign val="superscript"/>
      <sz val="8"/>
      <name val="Arial"/>
      <family val="2"/>
    </font>
    <font>
      <b/>
      <sz val="11"/>
      <name val="Arial"/>
      <family val="2"/>
    </font>
    <font>
      <b/>
      <sz val="20"/>
      <name val="Arial Narrow"/>
      <family val="2"/>
    </font>
    <font>
      <sz val="12"/>
      <name val="Typograph"/>
      <charset val="177"/>
    </font>
    <font>
      <b/>
      <sz val="9"/>
      <name val="Arial"/>
      <family val="2"/>
    </font>
    <font>
      <sz val="9"/>
      <name val="Arial"/>
      <family val="2"/>
    </font>
    <font>
      <b/>
      <sz val="14"/>
      <name val="Arial"/>
      <family val="2"/>
    </font>
    <font>
      <b/>
      <sz val="9.3000000000000007"/>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12"/>
        <bgColor indexed="64"/>
      </patternFill>
    </fill>
    <fill>
      <patternFill patternType="solid">
        <fgColor indexed="4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bgColor indexed="64"/>
      </patternFill>
    </fill>
  </fills>
  <borders count="5">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237">
    <xf numFmtId="0" fontId="0" fillId="0" borderId="0" xfId="0"/>
    <xf numFmtId="0" fontId="0" fillId="0" borderId="0" xfId="0" applyBorder="1"/>
    <xf numFmtId="0" fontId="5" fillId="0" borderId="0" xfId="0" applyFont="1"/>
    <xf numFmtId="0" fontId="5" fillId="0" borderId="0" xfId="0" applyFont="1" applyBorder="1"/>
    <xf numFmtId="0" fontId="0" fillId="0" borderId="0" xfId="0" applyFill="1" applyBorder="1"/>
    <xf numFmtId="38" fontId="18" fillId="2" borderId="0" xfId="0" applyNumberFormat="1" applyFont="1" applyFill="1" applyProtection="1"/>
    <xf numFmtId="167" fontId="18" fillId="2" borderId="0" xfId="0" quotePrefix="1" applyNumberFormat="1" applyFont="1" applyFill="1" applyProtection="1"/>
    <xf numFmtId="0" fontId="19" fillId="0" borderId="0" xfId="0" applyFont="1" applyAlignment="1" applyProtection="1">
      <alignment horizontal="left"/>
    </xf>
    <xf numFmtId="38" fontId="20" fillId="2" borderId="0" xfId="0" applyNumberFormat="1" applyFont="1" applyFill="1" applyProtection="1"/>
    <xf numFmtId="0" fontId="21" fillId="0" borderId="0" xfId="0" applyFont="1" applyProtection="1"/>
    <xf numFmtId="38" fontId="22" fillId="2" borderId="0" xfId="0" applyNumberFormat="1" applyFont="1" applyFill="1" applyProtection="1"/>
    <xf numFmtId="0" fontId="23" fillId="0" borderId="0" xfId="0" applyFont="1" applyProtection="1"/>
    <xf numFmtId="0" fontId="24" fillId="0" borderId="0" xfId="0" applyFont="1" applyProtection="1"/>
    <xf numFmtId="0" fontId="10" fillId="0" borderId="0" xfId="3" applyAlignment="1" applyProtection="1"/>
    <xf numFmtId="0" fontId="25" fillId="0" borderId="0" xfId="0" applyFont="1"/>
    <xf numFmtId="38" fontId="18" fillId="2" borderId="0" xfId="0" applyNumberFormat="1" applyFont="1" applyFill="1"/>
    <xf numFmtId="0" fontId="27" fillId="0" borderId="0" xfId="0" applyFont="1"/>
    <xf numFmtId="38" fontId="28" fillId="2" borderId="0" xfId="0" applyNumberFormat="1" applyFont="1" applyFill="1" applyProtection="1"/>
    <xf numFmtId="0" fontId="28" fillId="0" borderId="0" xfId="0" applyFont="1"/>
    <xf numFmtId="38" fontId="29" fillId="2" borderId="0" xfId="0" applyNumberFormat="1" applyFont="1" applyFill="1" applyProtection="1"/>
    <xf numFmtId="49" fontId="30" fillId="2" borderId="0" xfId="0" applyNumberFormat="1" applyFont="1" applyFill="1" applyProtection="1"/>
    <xf numFmtId="0" fontId="0" fillId="3" borderId="0" xfId="0" applyFill="1" applyBorder="1"/>
    <xf numFmtId="0" fontId="0" fillId="3" borderId="0" xfId="0" applyFill="1"/>
    <xf numFmtId="0" fontId="0" fillId="3" borderId="0" xfId="0" applyFill="1" applyAlignment="1">
      <alignment horizontal="center"/>
    </xf>
    <xf numFmtId="166" fontId="11" fillId="3" borderId="0" xfId="0" applyNumberFormat="1" applyFont="1" applyFill="1" applyBorder="1"/>
    <xf numFmtId="0" fontId="0" fillId="0" borderId="0" xfId="0" applyFill="1" applyBorder="1" applyAlignment="1">
      <alignment horizontal="center"/>
    </xf>
    <xf numFmtId="0" fontId="0" fillId="0" borderId="0" xfId="0" applyAlignment="1">
      <alignment horizontal="center"/>
    </xf>
    <xf numFmtId="0" fontId="0" fillId="3" borderId="0" xfId="0" applyFill="1" applyBorder="1" applyAlignment="1"/>
    <xf numFmtId="0" fontId="5" fillId="3" borderId="0" xfId="0" applyFont="1" applyFill="1" applyBorder="1" applyAlignment="1"/>
    <xf numFmtId="0" fontId="5" fillId="3" borderId="0" xfId="0" applyFont="1" applyFill="1"/>
    <xf numFmtId="0" fontId="0" fillId="2" borderId="0" xfId="0" applyFill="1"/>
    <xf numFmtId="0" fontId="2" fillId="2" borderId="0" xfId="0" applyFont="1" applyFill="1" applyBorder="1" applyAlignment="1">
      <alignment horizontal="center"/>
    </xf>
    <xf numFmtId="0" fontId="0" fillId="2" borderId="0" xfId="0" applyFill="1" applyBorder="1"/>
    <xf numFmtId="0" fontId="5" fillId="3" borderId="0" xfId="0" applyFont="1" applyFill="1" applyBorder="1" applyAlignment="1">
      <alignment horizontal="left"/>
    </xf>
    <xf numFmtId="0" fontId="0" fillId="0" borderId="0" xfId="0" applyFill="1"/>
    <xf numFmtId="0" fontId="32" fillId="3" borderId="0" xfId="0" applyFont="1" applyFill="1" applyBorder="1" applyAlignment="1"/>
    <xf numFmtId="0" fontId="5" fillId="0" borderId="0" xfId="0" applyFont="1" applyFill="1" applyBorder="1"/>
    <xf numFmtId="165" fontId="5" fillId="3" borderId="0" xfId="1" applyNumberFormat="1" applyFont="1" applyFill="1" applyBorder="1"/>
    <xf numFmtId="3" fontId="5" fillId="3" borderId="0" xfId="0" applyNumberFormat="1" applyFont="1" applyFill="1" applyBorder="1"/>
    <xf numFmtId="166" fontId="5" fillId="3" borderId="0" xfId="2" applyNumberFormat="1" applyFont="1" applyFill="1" applyBorder="1"/>
    <xf numFmtId="0" fontId="5" fillId="4" borderId="1" xfId="0" applyFont="1" applyFill="1" applyBorder="1"/>
    <xf numFmtId="0" fontId="0" fillId="4" borderId="1" xfId="0" applyFill="1" applyBorder="1"/>
    <xf numFmtId="0" fontId="9" fillId="4" borderId="1" xfId="0" applyFont="1" applyFill="1" applyBorder="1"/>
    <xf numFmtId="0" fontId="0" fillId="0" borderId="1" xfId="0" applyBorder="1"/>
    <xf numFmtId="0" fontId="12" fillId="5" borderId="1" xfId="0" applyFont="1" applyFill="1" applyBorder="1"/>
    <xf numFmtId="0" fontId="3" fillId="5" borderId="1" xfId="0" applyFont="1" applyFill="1" applyBorder="1" applyAlignment="1">
      <alignment horizontal="center"/>
    </xf>
    <xf numFmtId="0" fontId="0" fillId="5" borderId="1" xfId="0" applyFill="1" applyBorder="1" applyAlignment="1">
      <alignment horizontal="center"/>
    </xf>
    <xf numFmtId="0" fontId="5" fillId="2" borderId="0" xfId="0" applyFont="1" applyFill="1" applyBorder="1" applyAlignment="1">
      <alignment horizontal="center"/>
    </xf>
    <xf numFmtId="0" fontId="5" fillId="2" borderId="0" xfId="0" applyFont="1" applyFill="1"/>
    <xf numFmtId="166" fontId="11" fillId="4" borderId="1" xfId="0" applyNumberFormat="1" applyFont="1" applyFill="1" applyBorder="1"/>
    <xf numFmtId="0" fontId="5" fillId="4" borderId="1" xfId="0" applyFont="1" applyFill="1" applyBorder="1" applyAlignment="1">
      <alignment horizontal="left"/>
    </xf>
    <xf numFmtId="166" fontId="13" fillId="4" borderId="1" xfId="0" applyNumberFormat="1" applyFont="1" applyFill="1" applyBorder="1"/>
    <xf numFmtId="166" fontId="31" fillId="4" borderId="1" xfId="0" applyNumberFormat="1" applyFont="1" applyFill="1" applyBorder="1"/>
    <xf numFmtId="166" fontId="16" fillId="4" borderId="1" xfId="0" applyNumberFormat="1" applyFont="1" applyFill="1" applyBorder="1"/>
    <xf numFmtId="0" fontId="6" fillId="5" borderId="1" xfId="0" applyFont="1" applyFill="1" applyBorder="1"/>
    <xf numFmtId="166" fontId="6" fillId="5" borderId="1" xfId="0" applyNumberFormat="1" applyFont="1" applyFill="1" applyBorder="1"/>
    <xf numFmtId="166" fontId="5" fillId="3" borderId="0" xfId="0" applyNumberFormat="1" applyFont="1" applyFill="1" applyBorder="1"/>
    <xf numFmtId="0" fontId="15" fillId="0" borderId="0" xfId="0" applyFont="1" applyFill="1" applyBorder="1" applyAlignment="1">
      <alignment horizontal="center"/>
    </xf>
    <xf numFmtId="0" fontId="34" fillId="2" borderId="0" xfId="0" applyFont="1" applyFill="1" applyBorder="1" applyAlignment="1">
      <alignment horizontal="right"/>
    </xf>
    <xf numFmtId="0" fontId="0" fillId="3" borderId="2" xfId="0" applyFill="1" applyBorder="1" applyAlignment="1">
      <alignment horizontal="center"/>
    </xf>
    <xf numFmtId="0" fontId="3" fillId="3" borderId="2" xfId="0" applyFont="1" applyFill="1" applyBorder="1" applyAlignment="1">
      <alignment horizontal="center"/>
    </xf>
    <xf numFmtId="0" fontId="0" fillId="3" borderId="3" xfId="0" applyFill="1" applyBorder="1"/>
    <xf numFmtId="0" fontId="9" fillId="3" borderId="3" xfId="0" applyFont="1" applyFill="1" applyBorder="1"/>
    <xf numFmtId="165" fontId="5" fillId="3" borderId="0" xfId="1" applyNumberFormat="1" applyFont="1" applyFill="1" applyBorder="1" applyAlignment="1">
      <alignment horizontal="right"/>
    </xf>
    <xf numFmtId="43" fontId="5" fillId="3" borderId="0" xfId="0" applyNumberFormat="1" applyFont="1" applyFill="1"/>
    <xf numFmtId="165" fontId="5" fillId="3" borderId="0" xfId="1" applyNumberFormat="1" applyFont="1" applyFill="1"/>
    <xf numFmtId="0" fontId="8" fillId="2" borderId="0" xfId="0" applyFont="1" applyFill="1" applyBorder="1" applyAlignment="1">
      <alignment horizontal="center"/>
    </xf>
    <xf numFmtId="0" fontId="8" fillId="2" borderId="0" xfId="0" applyFont="1" applyFill="1" applyAlignment="1">
      <alignment horizontal="center"/>
    </xf>
    <xf numFmtId="10" fontId="0" fillId="0" borderId="0" xfId="0" applyNumberFormat="1"/>
    <xf numFmtId="0" fontId="5" fillId="2" borderId="0" xfId="0" applyFont="1" applyFill="1" applyBorder="1"/>
    <xf numFmtId="165" fontId="5" fillId="2" borderId="0" xfId="1" applyNumberFormat="1" applyFont="1" applyFill="1" applyBorder="1"/>
    <xf numFmtId="0" fontId="11" fillId="2" borderId="0" xfId="0" applyFont="1" applyFill="1" applyBorder="1" applyAlignment="1">
      <alignment horizontal="right"/>
    </xf>
    <xf numFmtId="166" fontId="11" fillId="2" borderId="0" xfId="2" applyNumberFormat="1" applyFont="1" applyFill="1" applyBorder="1"/>
    <xf numFmtId="166" fontId="11" fillId="2" borderId="0" xfId="0" applyNumberFormat="1" applyFont="1" applyFill="1" applyBorder="1"/>
    <xf numFmtId="43" fontId="5" fillId="2" borderId="0" xfId="1" applyNumberFormat="1" applyFont="1" applyFill="1" applyBorder="1" applyAlignment="1">
      <alignment horizontal="right"/>
    </xf>
    <xf numFmtId="43" fontId="5" fillId="2" borderId="0" xfId="1" applyNumberFormat="1" applyFont="1" applyFill="1" applyBorder="1"/>
    <xf numFmtId="165" fontId="5" fillId="2" borderId="0" xfId="1" applyNumberFormat="1" applyFont="1" applyFill="1" applyBorder="1" applyAlignment="1">
      <alignment horizontal="right"/>
    </xf>
    <xf numFmtId="165" fontId="5" fillId="2" borderId="0" xfId="0" applyNumberFormat="1" applyFont="1" applyFill="1"/>
    <xf numFmtId="166" fontId="5" fillId="2" borderId="0" xfId="0" applyNumberFormat="1" applyFont="1" applyFill="1" applyBorder="1"/>
    <xf numFmtId="0" fontId="5" fillId="2" borderId="0" xfId="0" applyFont="1" applyFill="1" applyBorder="1" applyAlignment="1">
      <alignment horizontal="left"/>
    </xf>
    <xf numFmtId="165" fontId="11" fillId="2" borderId="0" xfId="1" applyNumberFormat="1" applyFont="1" applyFill="1" applyBorder="1" applyAlignment="1">
      <alignment horizontal="right"/>
    </xf>
    <xf numFmtId="164" fontId="5" fillId="2" borderId="0" xfId="0" applyNumberFormat="1" applyFont="1" applyFill="1" applyBorder="1"/>
    <xf numFmtId="0" fontId="16" fillId="2" borderId="0" xfId="0" applyFont="1" applyFill="1" applyBorder="1" applyAlignment="1">
      <alignment horizontal="right"/>
    </xf>
    <xf numFmtId="166" fontId="11" fillId="2" borderId="0" xfId="0" applyNumberFormat="1" applyFont="1" applyFill="1" applyBorder="1" applyAlignment="1">
      <alignment horizontal="right"/>
    </xf>
    <xf numFmtId="0" fontId="33" fillId="2" borderId="0" xfId="0" applyFont="1" applyFill="1" applyBorder="1" applyAlignment="1">
      <alignment horizontal="right"/>
    </xf>
    <xf numFmtId="166" fontId="11" fillId="2" borderId="0" xfId="2" applyNumberFormat="1" applyFont="1" applyFill="1" applyBorder="1" applyAlignment="1">
      <alignment horizontal="right"/>
    </xf>
    <xf numFmtId="0" fontId="17" fillId="2" borderId="0" xfId="0" applyFont="1" applyFill="1" applyBorder="1"/>
    <xf numFmtId="0" fontId="14" fillId="2" borderId="0" xfId="0" applyFont="1" applyFill="1" applyBorder="1"/>
    <xf numFmtId="3" fontId="5" fillId="2" borderId="0" xfId="0" applyNumberFormat="1" applyFont="1" applyFill="1" applyBorder="1"/>
    <xf numFmtId="0" fontId="5" fillId="2" borderId="0" xfId="0" applyFont="1" applyFill="1" applyBorder="1" applyAlignment="1">
      <alignment wrapText="1"/>
    </xf>
    <xf numFmtId="166" fontId="5" fillId="2" borderId="0" xfId="2" applyNumberFormat="1" applyFont="1" applyFill="1" applyBorder="1"/>
    <xf numFmtId="165" fontId="5" fillId="3" borderId="0" xfId="0" applyNumberFormat="1" applyFont="1" applyFill="1" applyBorder="1" applyAlignment="1"/>
    <xf numFmtId="166" fontId="11" fillId="3" borderId="0" xfId="0" applyNumberFormat="1" applyFont="1" applyFill="1" applyBorder="1" applyAlignment="1">
      <alignment horizontal="right"/>
    </xf>
    <xf numFmtId="0" fontId="38" fillId="2" borderId="0" xfId="0" applyFont="1" applyFill="1" applyBorder="1"/>
    <xf numFmtId="0" fontId="38" fillId="5" borderId="1" xfId="0" applyFont="1" applyFill="1" applyBorder="1"/>
    <xf numFmtId="0" fontId="4" fillId="2" borderId="0" xfId="0" applyFont="1" applyFill="1" applyBorder="1" applyAlignment="1">
      <alignment horizontal="left"/>
    </xf>
    <xf numFmtId="166" fontId="0" fillId="4" borderId="1" xfId="0" applyNumberFormat="1" applyFill="1" applyBorder="1"/>
    <xf numFmtId="0" fontId="41" fillId="2" borderId="0" xfId="0" applyFont="1" applyFill="1" applyBorder="1"/>
    <xf numFmtId="165" fontId="5" fillId="3" borderId="0" xfId="0" applyNumberFormat="1" applyFont="1" applyFill="1"/>
    <xf numFmtId="3" fontId="11" fillId="3" borderId="0" xfId="0" applyNumberFormat="1" applyFont="1" applyFill="1" applyBorder="1" applyAlignment="1">
      <alignment horizontal="right"/>
    </xf>
    <xf numFmtId="164" fontId="5" fillId="3" borderId="0" xfId="0" applyNumberFormat="1" applyFont="1" applyFill="1" applyBorder="1"/>
    <xf numFmtId="164" fontId="5" fillId="3" borderId="0" xfId="0" applyNumberFormat="1" applyFont="1" applyFill="1" applyBorder="1" applyAlignment="1"/>
    <xf numFmtId="0" fontId="11" fillId="3" borderId="0" xfId="0" applyFont="1" applyFill="1" applyBorder="1" applyAlignment="1">
      <alignment horizontal="right"/>
    </xf>
    <xf numFmtId="2" fontId="5" fillId="2" borderId="0" xfId="0" applyNumberFormat="1" applyFont="1" applyFill="1" applyBorder="1" applyAlignment="1">
      <alignment wrapText="1"/>
    </xf>
    <xf numFmtId="0" fontId="0" fillId="0" borderId="0" xfId="0" applyAlignment="1" applyProtection="1">
      <protection locked="0"/>
    </xf>
    <xf numFmtId="0" fontId="0" fillId="2" borderId="0" xfId="0" applyFill="1" applyAlignment="1" applyProtection="1">
      <protection locked="0"/>
    </xf>
    <xf numFmtId="0" fontId="0" fillId="2" borderId="0" xfId="0" applyFill="1" applyBorder="1" applyAlignment="1" applyProtection="1">
      <protection locked="0"/>
    </xf>
    <xf numFmtId="0" fontId="0" fillId="0" borderId="0" xfId="0" applyFill="1" applyBorder="1" applyAlignment="1" applyProtection="1">
      <protection locked="0"/>
    </xf>
    <xf numFmtId="0" fontId="12" fillId="5" borderId="1" xfId="0" applyFont="1" applyFill="1" applyBorder="1" applyAlignment="1" applyProtection="1">
      <protection locked="0"/>
    </xf>
    <xf numFmtId="0" fontId="3" fillId="5" borderId="1"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5" borderId="1" xfId="0" applyFill="1" applyBorder="1" applyAlignment="1" applyProtection="1">
      <alignment horizontal="center"/>
      <protection locked="0"/>
    </xf>
    <xf numFmtId="0" fontId="7" fillId="2" borderId="0" xfId="0" applyFont="1" applyFill="1" applyAlignment="1" applyProtection="1">
      <protection locked="0"/>
    </xf>
    <xf numFmtId="0" fontId="5" fillId="6" borderId="1" xfId="0" applyFont="1" applyFill="1" applyBorder="1" applyAlignment="1" applyProtection="1">
      <protection locked="0"/>
    </xf>
    <xf numFmtId="0" fontId="6" fillId="6" borderId="1" xfId="0" applyFont="1" applyFill="1" applyBorder="1" applyAlignment="1" applyProtection="1">
      <protection locked="0"/>
    </xf>
    <xf numFmtId="0" fontId="36" fillId="0" borderId="0" xfId="0" applyFont="1" applyAlignment="1" applyProtection="1">
      <alignment horizontal="left"/>
      <protection locked="0"/>
    </xf>
    <xf numFmtId="0" fontId="5" fillId="2" borderId="0" xfId="0" applyFont="1" applyFill="1" applyAlignment="1" applyProtection="1">
      <protection locked="0"/>
    </xf>
    <xf numFmtId="165" fontId="11" fillId="0" borderId="0" xfId="1" applyNumberFormat="1" applyFont="1" applyBorder="1" applyAlignment="1" applyProtection="1">
      <alignment horizontal="right" vertical="center"/>
      <protection locked="0"/>
    </xf>
    <xf numFmtId="0" fontId="4" fillId="0" borderId="0" xfId="0" applyFont="1" applyAlignment="1" applyProtection="1">
      <protection locked="0"/>
    </xf>
    <xf numFmtId="0" fontId="11" fillId="2" borderId="0" xfId="0" applyFont="1" applyFill="1" applyAlignment="1" applyProtection="1">
      <alignment horizontal="right"/>
      <protection locked="0"/>
    </xf>
    <xf numFmtId="9" fontId="11" fillId="2" borderId="0" xfId="0" applyNumberFormat="1" applyFont="1" applyFill="1" applyBorder="1" applyAlignment="1">
      <alignment horizontal="right"/>
    </xf>
    <xf numFmtId="10" fontId="0" fillId="0" borderId="0" xfId="0" applyNumberFormat="1" applyFill="1" applyBorder="1" applyAlignment="1" applyProtection="1">
      <protection locked="0"/>
    </xf>
    <xf numFmtId="10" fontId="0" fillId="0" borderId="0" xfId="0" applyNumberFormat="1" applyBorder="1"/>
    <xf numFmtId="165" fontId="11" fillId="3" borderId="0" xfId="1" applyNumberFormat="1" applyFont="1" applyFill="1" applyBorder="1" applyAlignment="1">
      <alignment horizontal="right"/>
    </xf>
    <xf numFmtId="165" fontId="11" fillId="3" borderId="0" xfId="1" applyNumberFormat="1" applyFont="1" applyFill="1" applyAlignment="1">
      <alignment horizontal="right"/>
    </xf>
    <xf numFmtId="166" fontId="5" fillId="0" borderId="0" xfId="0" applyNumberFormat="1" applyFont="1" applyFill="1" applyBorder="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xf numFmtId="0" fontId="5" fillId="0" borderId="3" xfId="0" applyFont="1" applyBorder="1" applyAlignment="1" applyProtection="1">
      <protection locked="0"/>
    </xf>
    <xf numFmtId="0" fontId="5" fillId="2" borderId="3" xfId="0" applyFont="1" applyFill="1" applyBorder="1" applyAlignment="1" applyProtection="1">
      <protection locked="0"/>
    </xf>
    <xf numFmtId="0" fontId="5" fillId="0" borderId="3" xfId="0" applyFont="1" applyFill="1" applyBorder="1" applyAlignment="1" applyProtection="1">
      <protection locked="0"/>
    </xf>
    <xf numFmtId="0" fontId="6" fillId="2" borderId="0" xfId="0" applyFont="1" applyFill="1" applyAlignment="1" applyProtection="1">
      <alignment horizontal="center"/>
      <protection locked="0"/>
    </xf>
    <xf numFmtId="0" fontId="0" fillId="0" borderId="0" xfId="0" applyAlignment="1" applyProtection="1">
      <alignment horizontal="center"/>
      <protection locked="0"/>
    </xf>
    <xf numFmtId="165" fontId="0" fillId="2" borderId="0" xfId="0" applyNumberFormat="1" applyFill="1" applyAlignment="1" applyProtection="1">
      <protection locked="0"/>
    </xf>
    <xf numFmtId="0" fontId="0" fillId="2" borderId="0" xfId="0" applyFill="1" applyAlignment="1" applyProtection="1">
      <alignment horizontal="center"/>
      <protection locked="0"/>
    </xf>
    <xf numFmtId="0" fontId="0" fillId="3" borderId="0" xfId="0" applyFill="1" applyBorder="1" applyAlignment="1">
      <alignment horizontal="center"/>
    </xf>
    <xf numFmtId="0" fontId="9" fillId="3" borderId="3" xfId="0" applyFont="1" applyFill="1" applyBorder="1" applyAlignment="1">
      <alignment horizontal="center"/>
    </xf>
    <xf numFmtId="0" fontId="9" fillId="4" borderId="1" xfId="0" applyFont="1" applyFill="1" applyBorder="1" applyAlignment="1">
      <alignment horizontal="center"/>
    </xf>
    <xf numFmtId="0" fontId="11" fillId="0" borderId="0" xfId="0" applyFont="1" applyBorder="1" applyAlignment="1">
      <alignment horizontal="right"/>
    </xf>
    <xf numFmtId="0" fontId="5" fillId="2" borderId="0" xfId="0" applyFont="1" applyFill="1" applyBorder="1" applyAlignment="1" applyProtection="1">
      <protection locked="0"/>
    </xf>
    <xf numFmtId="0" fontId="5" fillId="0" borderId="0" xfId="0" applyFont="1" applyFill="1" applyBorder="1" applyAlignment="1" applyProtection="1">
      <protection locked="0"/>
    </xf>
    <xf numFmtId="0" fontId="5" fillId="0" borderId="0" xfId="0" applyFont="1" applyBorder="1" applyAlignment="1" applyProtection="1">
      <protection locked="0"/>
    </xf>
    <xf numFmtId="165" fontId="5" fillId="3" borderId="0" xfId="1" applyNumberFormat="1" applyFont="1" applyFill="1" applyBorder="1" applyAlignment="1"/>
    <xf numFmtId="166" fontId="5" fillId="3" borderId="0" xfId="0" applyNumberFormat="1" applyFont="1" applyFill="1" applyBorder="1" applyAlignment="1"/>
    <xf numFmtId="38" fontId="26" fillId="2" borderId="0" xfId="0" applyNumberFormat="1" applyFont="1" applyFill="1" applyAlignment="1" applyProtection="1">
      <alignment horizontal="center"/>
    </xf>
    <xf numFmtId="0" fontId="28" fillId="0" borderId="0" xfId="0" applyFont="1" applyAlignment="1" applyProtection="1">
      <alignment horizontal="center"/>
    </xf>
    <xf numFmtId="38" fontId="43" fillId="2" borderId="0" xfId="0" applyNumberFormat="1" applyFont="1" applyFill="1" applyAlignment="1" applyProtection="1">
      <alignment horizontal="center"/>
    </xf>
    <xf numFmtId="165" fontId="5" fillId="0" borderId="0" xfId="1" applyNumberFormat="1" applyFont="1" applyFill="1" applyBorder="1"/>
    <xf numFmtId="164" fontId="5" fillId="0" borderId="0" xfId="0" applyNumberFormat="1" applyFont="1" applyFill="1" applyBorder="1"/>
    <xf numFmtId="0" fontId="44" fillId="0" borderId="0" xfId="0" applyFont="1" applyAlignment="1">
      <alignment horizontal="right" vertical="center" readingOrder="2"/>
    </xf>
    <xf numFmtId="0" fontId="44" fillId="7" borderId="0" xfId="0" applyFont="1" applyFill="1" applyAlignment="1">
      <alignment horizontal="right" vertical="center" readingOrder="2"/>
    </xf>
    <xf numFmtId="168" fontId="5" fillId="0" borderId="0" xfId="0" applyNumberFormat="1" applyFont="1" applyAlignment="1">
      <alignment horizontal="right"/>
    </xf>
    <xf numFmtId="168" fontId="5" fillId="0" borderId="0" xfId="0" applyNumberFormat="1" applyFont="1" applyAlignment="1"/>
    <xf numFmtId="168" fontId="5" fillId="3" borderId="0" xfId="1" applyNumberFormat="1" applyFont="1" applyFill="1" applyBorder="1" applyAlignment="1">
      <alignment horizontal="right"/>
    </xf>
    <xf numFmtId="0" fontId="45" fillId="2" borderId="3" xfId="0" applyFont="1" applyFill="1" applyBorder="1" applyAlignment="1" applyProtection="1">
      <alignment horizontal="center" wrapText="1"/>
      <protection locked="0"/>
    </xf>
    <xf numFmtId="0" fontId="45" fillId="0" borderId="3" xfId="0" applyFont="1" applyBorder="1" applyAlignment="1" applyProtection="1">
      <alignment horizontal="center"/>
      <protection locked="0"/>
    </xf>
    <xf numFmtId="0" fontId="45" fillId="2" borderId="3" xfId="0" applyFont="1" applyFill="1" applyBorder="1" applyAlignment="1" applyProtection="1">
      <protection locked="0"/>
    </xf>
    <xf numFmtId="0" fontId="45" fillId="2" borderId="0" xfId="0" applyFont="1" applyFill="1" applyBorder="1" applyAlignment="1" applyProtection="1">
      <protection locked="0"/>
    </xf>
    <xf numFmtId="0" fontId="46" fillId="2" borderId="0" xfId="0" applyFont="1" applyFill="1" applyBorder="1" applyAlignment="1" applyProtection="1">
      <protection locked="0"/>
    </xf>
    <xf numFmtId="0" fontId="46" fillId="0" borderId="0" xfId="0" applyFont="1" applyAlignment="1" applyProtection="1">
      <protection locked="0"/>
    </xf>
    <xf numFmtId="0" fontId="46" fillId="2" borderId="0" xfId="0" applyFont="1" applyFill="1" applyAlignment="1" applyProtection="1">
      <protection locked="0"/>
    </xf>
    <xf numFmtId="0" fontId="45" fillId="4" borderId="1" xfId="0" applyFont="1" applyFill="1" applyBorder="1"/>
    <xf numFmtId="0" fontId="47" fillId="3" borderId="0" xfId="0" applyFont="1" applyFill="1" applyBorder="1" applyAlignment="1"/>
    <xf numFmtId="0" fontId="40" fillId="2" borderId="0" xfId="0" applyFont="1" applyFill="1" applyBorder="1" applyAlignment="1">
      <alignment horizontal="right"/>
    </xf>
    <xf numFmtId="166" fontId="11" fillId="0" borderId="0" xfId="0" applyNumberFormat="1" applyFont="1" applyFill="1" applyBorder="1"/>
    <xf numFmtId="166" fontId="11" fillId="0" borderId="0" xfId="2" applyNumberFormat="1" applyFont="1" applyFill="1" applyBorder="1"/>
    <xf numFmtId="166" fontId="5" fillId="0" borderId="0" xfId="2" applyNumberFormat="1" applyFont="1" applyFill="1" applyBorder="1"/>
    <xf numFmtId="9" fontId="5" fillId="3" borderId="0" xfId="0" applyNumberFormat="1" applyFont="1" applyFill="1" applyBorder="1" applyAlignment="1"/>
    <xf numFmtId="0" fontId="0" fillId="5" borderId="0" xfId="0" applyFill="1" applyBorder="1" applyAlignment="1">
      <alignment horizontal="center"/>
    </xf>
    <xf numFmtId="166" fontId="11" fillId="3" borderId="0" xfId="2" applyNumberFormat="1" applyFont="1" applyFill="1" applyBorder="1" applyAlignment="1">
      <alignment horizontal="right"/>
    </xf>
    <xf numFmtId="9" fontId="5" fillId="3" borderId="0" xfId="2" applyNumberFormat="1" applyFont="1" applyFill="1" applyBorder="1"/>
    <xf numFmtId="168" fontId="5" fillId="7" borderId="0" xfId="0" applyNumberFormat="1" applyFont="1" applyFill="1" applyAlignment="1"/>
    <xf numFmtId="0" fontId="5" fillId="8" borderId="4" xfId="0" applyFont="1" applyFill="1" applyBorder="1"/>
    <xf numFmtId="168" fontId="5" fillId="8" borderId="1" xfId="0" applyNumberFormat="1" applyFont="1" applyFill="1" applyBorder="1" applyAlignment="1"/>
    <xf numFmtId="165" fontId="11" fillId="8" borderId="1" xfId="1" applyNumberFormat="1" applyFont="1" applyFill="1" applyBorder="1" applyAlignment="1">
      <alignment horizontal="right"/>
    </xf>
    <xf numFmtId="165" fontId="5" fillId="8" borderId="1" xfId="1" applyNumberFormat="1" applyFont="1" applyFill="1" applyBorder="1" applyAlignment="1">
      <alignment horizontal="right"/>
    </xf>
    <xf numFmtId="165" fontId="5" fillId="8" borderId="1" xfId="1" applyNumberFormat="1" applyFont="1" applyFill="1" applyBorder="1"/>
    <xf numFmtId="0" fontId="5" fillId="0" borderId="0" xfId="0" applyFont="1" applyFill="1"/>
    <xf numFmtId="168" fontId="5" fillId="3" borderId="0" xfId="1" applyNumberFormat="1" applyFont="1" applyFill="1" applyBorder="1"/>
    <xf numFmtId="0" fontId="5" fillId="0" borderId="0" xfId="0" applyFont="1" applyAlignment="1">
      <alignment wrapText="1"/>
    </xf>
    <xf numFmtId="0" fontId="0" fillId="0" borderId="3" xfId="0" applyBorder="1"/>
    <xf numFmtId="0" fontId="5" fillId="0" borderId="1" xfId="0" applyFont="1" applyBorder="1"/>
    <xf numFmtId="168" fontId="5" fillId="0" borderId="1" xfId="0" applyNumberFormat="1" applyFont="1" applyBorder="1" applyAlignment="1"/>
    <xf numFmtId="168" fontId="5" fillId="3" borderId="1" xfId="1" applyNumberFormat="1" applyFont="1" applyFill="1" applyBorder="1"/>
    <xf numFmtId="0" fontId="11" fillId="2" borderId="0" xfId="0" applyFont="1" applyFill="1" applyBorder="1" applyAlignment="1">
      <alignment horizontal="left"/>
    </xf>
    <xf numFmtId="168" fontId="5" fillId="0" borderId="0" xfId="0" applyNumberFormat="1" applyFont="1"/>
    <xf numFmtId="168" fontId="5" fillId="0" borderId="0" xfId="0" applyNumberFormat="1" applyFont="1" applyFill="1" applyAlignment="1">
      <alignment horizontal="right"/>
    </xf>
    <xf numFmtId="168" fontId="5" fillId="0" borderId="0" xfId="0" applyNumberFormat="1" applyFont="1" applyFill="1" applyAlignment="1"/>
    <xf numFmtId="168" fontId="5" fillId="0" borderId="1" xfId="0" applyNumberFormat="1" applyFont="1" applyFill="1" applyBorder="1" applyAlignment="1"/>
    <xf numFmtId="0" fontId="30" fillId="0" borderId="0" xfId="0" applyFont="1"/>
    <xf numFmtId="170" fontId="5" fillId="3" borderId="0" xfId="0" applyNumberFormat="1" applyFont="1" applyFill="1" applyBorder="1"/>
    <xf numFmtId="170" fontId="5" fillId="2" borderId="0" xfId="0" applyNumberFormat="1" applyFont="1" applyFill="1" applyBorder="1"/>
    <xf numFmtId="0" fontId="48" fillId="2" borderId="0" xfId="0" applyFont="1" applyFill="1" applyBorder="1"/>
    <xf numFmtId="0" fontId="5" fillId="2" borderId="0" xfId="1" applyNumberFormat="1" applyFont="1" applyFill="1" applyBorder="1"/>
    <xf numFmtId="0" fontId="2" fillId="2" borderId="0" xfId="0" applyFont="1" applyFill="1" applyBorder="1"/>
    <xf numFmtId="166" fontId="5" fillId="2" borderId="0" xfId="0" applyNumberFormat="1" applyFont="1" applyFill="1" applyBorder="1" applyAlignment="1">
      <alignment horizontal="right"/>
    </xf>
    <xf numFmtId="0" fontId="1" fillId="2" borderId="0" xfId="0" applyFont="1" applyFill="1" applyBorder="1" applyAlignment="1" applyProtection="1">
      <protection locked="0"/>
    </xf>
    <xf numFmtId="165" fontId="1" fillId="2" borderId="0" xfId="1" applyNumberFormat="1" applyFont="1" applyFill="1" applyBorder="1" applyAlignment="1">
      <alignment horizontal="right"/>
    </xf>
    <xf numFmtId="0" fontId="1" fillId="3" borderId="0" xfId="0" applyFont="1" applyFill="1" applyBorder="1" applyAlignment="1"/>
    <xf numFmtId="168" fontId="1" fillId="0" borderId="0" xfId="0" applyNumberFormat="1" applyFont="1" applyFill="1" applyAlignment="1">
      <alignment horizontal="right"/>
    </xf>
    <xf numFmtId="168" fontId="1" fillId="7" borderId="0" xfId="0" applyNumberFormat="1" applyFont="1" applyFill="1" applyAlignment="1">
      <alignment horizontal="right"/>
    </xf>
    <xf numFmtId="166" fontId="1" fillId="0" borderId="0" xfId="0" applyNumberFormat="1" applyFont="1" applyFill="1" applyAlignment="1">
      <alignment horizontal="right"/>
    </xf>
    <xf numFmtId="166" fontId="1" fillId="7" borderId="0" xfId="0" applyNumberFormat="1" applyFont="1" applyFill="1" applyAlignment="1">
      <alignment horizontal="right"/>
    </xf>
    <xf numFmtId="0" fontId="1" fillId="2" borderId="0" xfId="0" applyFont="1" applyFill="1" applyBorder="1" applyAlignment="1" applyProtection="1">
      <alignment horizontal="center" wrapText="1"/>
      <protection locked="0"/>
    </xf>
    <xf numFmtId="165" fontId="1" fillId="0" borderId="0" xfId="0" applyNumberFormat="1" applyFont="1" applyAlignment="1" applyProtection="1">
      <protection locked="0"/>
    </xf>
    <xf numFmtId="0" fontId="1" fillId="0" borderId="0" xfId="0" applyFont="1" applyAlignment="1" applyProtection="1">
      <alignment horizontal="left"/>
      <protection locked="0"/>
    </xf>
    <xf numFmtId="0" fontId="1" fillId="9" borderId="0" xfId="0" applyFont="1" applyFill="1" applyBorder="1" applyAlignment="1" applyProtection="1">
      <alignment horizontal="center" wrapText="1"/>
      <protection locked="0"/>
    </xf>
    <xf numFmtId="2" fontId="1" fillId="2" borderId="0" xfId="0" applyNumberFormat="1" applyFont="1" applyFill="1" applyBorder="1" applyAlignment="1" applyProtection="1">
      <alignment horizontal="center" wrapText="1"/>
      <protection locked="0"/>
    </xf>
    <xf numFmtId="169" fontId="1" fillId="2" borderId="0" xfId="0" applyNumberFormat="1" applyFont="1" applyFill="1" applyBorder="1" applyAlignment="1" applyProtection="1">
      <alignment horizontal="center" wrapText="1"/>
      <protection locked="0"/>
    </xf>
    <xf numFmtId="2" fontId="1" fillId="0" borderId="0" xfId="0" applyNumberFormat="1" applyFont="1" applyFill="1" applyBorder="1" applyAlignment="1" applyProtection="1">
      <alignment horizontal="center" wrapText="1"/>
      <protection locked="0"/>
    </xf>
    <xf numFmtId="0" fontId="1" fillId="0" borderId="0" xfId="0" applyFont="1" applyAlignment="1" applyProtection="1">
      <alignment horizontal="center"/>
      <protection locked="0"/>
    </xf>
    <xf numFmtId="2" fontId="1" fillId="0" borderId="0" xfId="0" applyNumberFormat="1" applyFont="1" applyAlignment="1" applyProtection="1">
      <alignment horizontal="center"/>
      <protection locked="0"/>
    </xf>
    <xf numFmtId="0" fontId="1" fillId="2" borderId="0" xfId="0" applyFont="1" applyFill="1" applyAlignment="1" applyProtection="1">
      <alignment horizontal="center"/>
      <protection locked="0"/>
    </xf>
    <xf numFmtId="165" fontId="1" fillId="2" borderId="0" xfId="0" applyNumberFormat="1" applyFont="1" applyFill="1" applyAlignment="1" applyProtection="1">
      <protection locked="0"/>
    </xf>
    <xf numFmtId="168" fontId="5" fillId="4" borderId="1" xfId="0" applyNumberFormat="1" applyFont="1" applyFill="1" applyBorder="1"/>
    <xf numFmtId="168" fontId="5" fillId="7" borderId="0" xfId="0" applyNumberFormat="1" applyFont="1" applyFill="1" applyAlignment="1">
      <alignment horizontal="right"/>
    </xf>
    <xf numFmtId="171" fontId="5" fillId="7" borderId="0" xfId="0" applyNumberFormat="1" applyFont="1" applyFill="1" applyAlignment="1"/>
    <xf numFmtId="171" fontId="5" fillId="0" borderId="0" xfId="0" applyNumberFormat="1" applyFont="1" applyAlignment="1"/>
    <xf numFmtId="2" fontId="5" fillId="0" borderId="0" xfId="0" applyNumberFormat="1" applyFont="1" applyAlignment="1"/>
    <xf numFmtId="165" fontId="5" fillId="4" borderId="1" xfId="1" applyNumberFormat="1" applyFont="1" applyFill="1" applyBorder="1"/>
    <xf numFmtId="168" fontId="5" fillId="0" borderId="0" xfId="1" applyNumberFormat="1" applyFont="1" applyFill="1" applyBorder="1"/>
    <xf numFmtId="9" fontId="11" fillId="3" borderId="0" xfId="0" applyNumberFormat="1" applyFont="1" applyFill="1" applyBorder="1" applyAlignment="1">
      <alignment horizontal="right"/>
    </xf>
    <xf numFmtId="168" fontId="0" fillId="0" borderId="0" xfId="0" applyNumberFormat="1"/>
    <xf numFmtId="165" fontId="5" fillId="2" borderId="0" xfId="0" applyNumberFormat="1" applyFont="1" applyFill="1" applyBorder="1"/>
    <xf numFmtId="1" fontId="5" fillId="0" borderId="0" xfId="0" applyNumberFormat="1" applyFont="1" applyFill="1" applyBorder="1"/>
    <xf numFmtId="0" fontId="5" fillId="3" borderId="0" xfId="0" applyFont="1" applyFill="1" applyBorder="1"/>
    <xf numFmtId="171" fontId="5" fillId="0" borderId="0" xfId="0" applyNumberFormat="1" applyFont="1" applyFill="1" applyAlignment="1">
      <alignment horizontal="right"/>
    </xf>
    <xf numFmtId="168" fontId="0" fillId="0" borderId="0" xfId="0" applyNumberFormat="1" applyFill="1" applyBorder="1"/>
    <xf numFmtId="168" fontId="11" fillId="0" borderId="0" xfId="0" applyNumberFormat="1" applyFont="1" applyFill="1" applyAlignment="1">
      <alignment horizontal="right"/>
    </xf>
    <xf numFmtId="171" fontId="5" fillId="7" borderId="0" xfId="0" applyNumberFormat="1" applyFont="1" applyFill="1" applyAlignment="1">
      <alignment horizontal="right"/>
    </xf>
    <xf numFmtId="165" fontId="5" fillId="7" borderId="0" xfId="1" applyNumberFormat="1" applyFont="1" applyFill="1" applyBorder="1"/>
    <xf numFmtId="0" fontId="5" fillId="0" borderId="0" xfId="0" applyFont="1" applyFill="1" applyBorder="1" applyAlignment="1">
      <alignment wrapText="1"/>
    </xf>
    <xf numFmtId="0" fontId="11" fillId="0" borderId="0" xfId="0" applyFont="1" applyFill="1" applyBorder="1" applyAlignment="1">
      <alignment horizontal="right"/>
    </xf>
    <xf numFmtId="0" fontId="1" fillId="0" borderId="0" xfId="0" applyFont="1" applyAlignment="1">
      <alignment horizontal="justify" vertical="center" readingOrder="1"/>
    </xf>
    <xf numFmtId="0" fontId="0" fillId="0" borderId="0" xfId="0" applyAlignment="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cellXfs>
  <cellStyles count="4">
    <cellStyle name="Comma" xfId="1" builtinId="3"/>
    <cellStyle name="Normal" xfId="0" builtinId="0"/>
    <cellStyle name="Percent" xfId="2" builtinId="5"/>
    <cellStyle name="היפר-קישור" xfId="3" builtinId="8"/>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47625</xdr:rowOff>
    </xdr:from>
    <xdr:to>
      <xdr:col>6</xdr:col>
      <xdr:colOff>466725</xdr:colOff>
      <xdr:row>31</xdr:row>
      <xdr:rowOff>152400</xdr:rowOff>
    </xdr:to>
    <xdr:pic>
      <xdr:nvPicPr>
        <xdr:cNvPr id="14756" name="Picture 4" descr="bg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3743325" cy="721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3175</xdr:colOff>
      <xdr:row>1</xdr:row>
      <xdr:rowOff>132362</xdr:rowOff>
    </xdr:from>
    <xdr:to>
      <xdr:col>9</xdr:col>
      <xdr:colOff>533400</xdr:colOff>
      <xdr:row>10</xdr:row>
      <xdr:rowOff>42263</xdr:rowOff>
    </xdr:to>
    <xdr:pic>
      <xdr:nvPicPr>
        <xdr:cNvPr id="1475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6188075" y="284762"/>
          <a:ext cx="1533525" cy="1522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111303</xdr:rowOff>
    </xdr:from>
    <xdr:to>
      <xdr:col>0</xdr:col>
      <xdr:colOff>638175</xdr:colOff>
      <xdr:row>3</xdr:row>
      <xdr:rowOff>79197</xdr:rowOff>
    </xdr:to>
    <xdr:pic>
      <xdr:nvPicPr>
        <xdr:cNvPr id="1557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11130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3</xdr:row>
      <xdr:rowOff>39499</xdr:rowOff>
    </xdr:from>
    <xdr:to>
      <xdr:col>0</xdr:col>
      <xdr:colOff>609600</xdr:colOff>
      <xdr:row>5</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496699"/>
          <a:ext cx="400050" cy="397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85725</xdr:colOff>
      <xdr:row>0</xdr:row>
      <xdr:rowOff>79553</xdr:rowOff>
    </xdr:from>
    <xdr:to>
      <xdr:col>0</xdr:col>
      <xdr:colOff>590550</xdr:colOff>
      <xdr:row>3</xdr:row>
      <xdr:rowOff>72847</xdr:rowOff>
    </xdr:to>
    <xdr:pic>
      <xdr:nvPicPr>
        <xdr:cNvPr id="16594"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7955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209550</xdr:colOff>
      <xdr:row>0</xdr:row>
      <xdr:rowOff>70394</xdr:rowOff>
    </xdr:from>
    <xdr:to>
      <xdr:col>0</xdr:col>
      <xdr:colOff>819150</xdr:colOff>
      <xdr:row>3</xdr:row>
      <xdr:rowOff>66131</xdr:rowOff>
    </xdr:to>
    <xdr:pic>
      <xdr:nvPicPr>
        <xdr:cNvPr id="88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70394"/>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209550</xdr:colOff>
      <xdr:row>0</xdr:row>
      <xdr:rowOff>87856</xdr:rowOff>
    </xdr:from>
    <xdr:to>
      <xdr:col>0</xdr:col>
      <xdr:colOff>819150</xdr:colOff>
      <xdr:row>3</xdr:row>
      <xdr:rowOff>83593</xdr:rowOff>
    </xdr:to>
    <xdr:pic>
      <xdr:nvPicPr>
        <xdr:cNvPr id="17618"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87856"/>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bezeq.co.il/" TargetMode="External"/><Relationship Id="rId1" Type="http://schemas.openxmlformats.org/officeDocument/2006/relationships/hyperlink" Target="mailto:ir@bezeq.co.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2:V249"/>
  <sheetViews>
    <sheetView showGridLines="0" topLeftCell="F7" workbookViewId="0">
      <selection activeCell="I18" sqref="I18"/>
    </sheetView>
  </sheetViews>
  <sheetFormatPr defaultColWidth="8.6640625" defaultRowHeight="13.2"/>
  <cols>
    <col min="2" max="2" width="15.6640625" customWidth="1"/>
    <col min="3" max="3" width="9.33203125" customWidth="1"/>
    <col min="4" max="4" width="5.6640625" customWidth="1"/>
    <col min="5" max="5" width="9.33203125" hidden="1" customWidth="1"/>
    <col min="6" max="6" width="9.33203125" customWidth="1"/>
    <col min="7" max="7" width="23.33203125" customWidth="1"/>
    <col min="8" max="8" width="9" customWidth="1"/>
    <col min="9" max="9" width="13.33203125" customWidth="1"/>
    <col min="10" max="10" width="12.33203125" customWidth="1"/>
    <col min="11" max="11" width="26.44140625" customWidth="1"/>
    <col min="12" max="12" width="10.33203125" customWidth="1"/>
    <col min="13" max="13" width="9.33203125" customWidth="1"/>
  </cols>
  <sheetData>
    <row r="2" spans="4:15">
      <c r="D2" s="5"/>
      <c r="E2" s="5"/>
      <c r="F2" s="5"/>
      <c r="G2" s="5"/>
      <c r="H2" s="5"/>
      <c r="M2" s="5"/>
      <c r="N2" s="5"/>
      <c r="O2" s="5"/>
    </row>
    <row r="3" spans="4:15" ht="24.6">
      <c r="D3" s="5"/>
      <c r="E3" s="5"/>
      <c r="F3" s="5"/>
      <c r="G3" s="5"/>
      <c r="H3" s="6"/>
      <c r="M3" s="14"/>
      <c r="N3" s="5"/>
      <c r="O3" s="5"/>
    </row>
    <row r="4" spans="4:15">
      <c r="D4" s="5"/>
      <c r="E4" s="5"/>
      <c r="F4" s="5"/>
      <c r="G4" s="5"/>
      <c r="H4" s="5"/>
      <c r="M4" s="5"/>
      <c r="N4" s="5"/>
      <c r="O4" s="5"/>
    </row>
    <row r="5" spans="4:15">
      <c r="D5" s="5"/>
      <c r="E5" s="5"/>
      <c r="F5" s="5"/>
      <c r="G5" s="5"/>
      <c r="H5" s="5"/>
      <c r="M5" s="5"/>
      <c r="N5" s="5"/>
      <c r="O5" s="5"/>
    </row>
    <row r="6" spans="4:15">
      <c r="D6" s="5"/>
      <c r="E6" s="5"/>
      <c r="F6" s="5"/>
      <c r="G6" s="5"/>
      <c r="H6" s="5"/>
      <c r="M6" s="5"/>
      <c r="N6" s="5"/>
      <c r="O6" s="5"/>
    </row>
    <row r="7" spans="4:15">
      <c r="D7" s="5"/>
      <c r="E7" s="5"/>
      <c r="F7" s="5"/>
      <c r="G7" s="5"/>
      <c r="H7" s="5"/>
      <c r="M7" s="5"/>
      <c r="N7" s="5"/>
      <c r="O7" s="5"/>
    </row>
    <row r="8" spans="4:15">
      <c r="D8" s="5"/>
      <c r="E8" s="5"/>
      <c r="F8" s="5"/>
      <c r="G8" s="5"/>
      <c r="H8" s="5"/>
      <c r="M8" s="5"/>
      <c r="N8" s="5"/>
      <c r="O8" s="5"/>
    </row>
    <row r="9" spans="4:15">
      <c r="D9" s="5"/>
      <c r="E9" s="5"/>
      <c r="F9" s="5"/>
      <c r="G9" s="5"/>
      <c r="H9" s="5"/>
      <c r="M9" s="5"/>
      <c r="N9" s="5"/>
      <c r="O9" s="5"/>
    </row>
    <row r="10" spans="4:15">
      <c r="D10" s="5"/>
      <c r="E10" s="5"/>
      <c r="F10" s="5"/>
      <c r="G10" s="5"/>
      <c r="H10" s="5"/>
      <c r="N10" s="5"/>
      <c r="O10" s="5"/>
    </row>
    <row r="11" spans="4:15">
      <c r="D11" s="5"/>
      <c r="E11" s="5"/>
      <c r="F11" s="5"/>
      <c r="G11" s="5"/>
      <c r="H11" s="5"/>
      <c r="N11" s="5"/>
      <c r="O11" s="5"/>
    </row>
    <row r="12" spans="4:15" ht="30.75" customHeight="1">
      <c r="D12" s="5"/>
      <c r="E12" s="5"/>
      <c r="F12" s="5"/>
      <c r="I12" s="146" t="s">
        <v>268</v>
      </c>
      <c r="J12" s="144"/>
      <c r="K12" s="144"/>
      <c r="M12" s="7"/>
      <c r="N12" s="5"/>
      <c r="O12" s="5"/>
    </row>
    <row r="13" spans="4:15" ht="15.6">
      <c r="D13" s="5"/>
      <c r="E13" s="5"/>
      <c r="F13" s="5"/>
      <c r="I13" s="145" t="s">
        <v>269</v>
      </c>
      <c r="J13" s="145"/>
      <c r="K13" s="145"/>
      <c r="M13" s="7"/>
      <c r="N13" s="5"/>
      <c r="O13" s="5"/>
    </row>
    <row r="14" spans="4:15" ht="15.6">
      <c r="D14" s="5"/>
      <c r="E14" s="5"/>
      <c r="F14" s="5"/>
      <c r="G14" s="5"/>
      <c r="H14" s="17"/>
      <c r="I14" s="18"/>
      <c r="J14" s="18"/>
      <c r="K14" s="18"/>
      <c r="M14" s="7"/>
      <c r="N14" s="5"/>
      <c r="O14" s="5"/>
    </row>
    <row r="15" spans="4:15" ht="15.6">
      <c r="D15" s="5"/>
      <c r="E15" s="5"/>
      <c r="F15" s="5"/>
      <c r="G15" s="5"/>
      <c r="H15" s="19" t="s">
        <v>28</v>
      </c>
      <c r="I15" s="18"/>
      <c r="J15" s="18"/>
      <c r="K15" s="18"/>
      <c r="M15" s="5"/>
      <c r="N15" s="5"/>
      <c r="O15" s="5"/>
    </row>
    <row r="16" spans="4:15" ht="15.6">
      <c r="D16" s="5"/>
      <c r="E16" s="5"/>
      <c r="F16" s="5"/>
      <c r="G16" s="5"/>
      <c r="H16" s="20"/>
      <c r="I16" s="18"/>
      <c r="J16" s="18"/>
      <c r="K16" s="18"/>
      <c r="M16" s="5"/>
      <c r="N16" s="5"/>
      <c r="O16" s="5"/>
    </row>
    <row r="17" spans="4:15" ht="15.6">
      <c r="D17" s="5"/>
      <c r="E17" s="5"/>
      <c r="F17" s="5"/>
      <c r="G17" s="5"/>
      <c r="H17" s="20" t="s">
        <v>200</v>
      </c>
      <c r="I17" s="189" t="s">
        <v>193</v>
      </c>
      <c r="J17" s="18"/>
      <c r="K17" s="18"/>
      <c r="M17" s="8"/>
      <c r="N17" s="5"/>
      <c r="O17" s="5"/>
    </row>
    <row r="18" spans="4:15" ht="15.6">
      <c r="D18" s="5"/>
      <c r="E18" s="5"/>
      <c r="F18" s="5"/>
      <c r="G18" s="5"/>
      <c r="H18" s="20" t="s">
        <v>199</v>
      </c>
      <c r="I18" s="189" t="s">
        <v>194</v>
      </c>
      <c r="K18" s="16"/>
      <c r="M18" s="5"/>
      <c r="N18" s="5"/>
    </row>
    <row r="19" spans="4:15" ht="15.6">
      <c r="D19" s="5"/>
      <c r="E19" s="5"/>
      <c r="F19" s="5"/>
      <c r="G19" s="5"/>
      <c r="H19" s="20" t="s">
        <v>198</v>
      </c>
      <c r="I19" s="189" t="s">
        <v>195</v>
      </c>
      <c r="M19" s="15"/>
      <c r="N19" s="5"/>
    </row>
    <row r="20" spans="4:15" ht="15.6">
      <c r="D20" s="5"/>
      <c r="E20" s="5"/>
      <c r="F20" s="5"/>
      <c r="G20" s="5"/>
      <c r="H20" s="20" t="s">
        <v>197</v>
      </c>
      <c r="I20" s="189" t="s">
        <v>196</v>
      </c>
      <c r="J20" s="16"/>
      <c r="M20" s="15"/>
      <c r="N20" s="5"/>
    </row>
    <row r="21" spans="4:15" ht="15.6">
      <c r="D21" s="5"/>
      <c r="E21" s="5"/>
      <c r="F21" s="5"/>
      <c r="G21" s="5"/>
      <c r="H21" s="20" t="s">
        <v>204</v>
      </c>
      <c r="I21" s="189" t="s">
        <v>39</v>
      </c>
      <c r="M21" s="5"/>
      <c r="N21" s="5"/>
      <c r="O21" s="5"/>
    </row>
    <row r="22" spans="4:15">
      <c r="D22" s="5"/>
      <c r="E22" s="5"/>
      <c r="F22" s="5"/>
      <c r="G22" s="5"/>
      <c r="M22" s="5"/>
      <c r="N22" s="5"/>
      <c r="O22" s="5"/>
    </row>
    <row r="23" spans="4:15">
      <c r="D23" s="5"/>
      <c r="E23" s="5"/>
      <c r="F23" s="5"/>
      <c r="G23" s="5"/>
      <c r="H23" s="5"/>
      <c r="M23" s="5"/>
      <c r="N23" s="5"/>
      <c r="O23" s="5"/>
    </row>
    <row r="24" spans="4:15">
      <c r="D24" s="5"/>
      <c r="E24" s="5"/>
      <c r="F24" s="5"/>
      <c r="G24" s="5"/>
      <c r="H24" s="5"/>
      <c r="M24" s="5"/>
      <c r="N24" s="5"/>
      <c r="O24" s="5"/>
    </row>
    <row r="25" spans="4:15">
      <c r="D25" s="5"/>
      <c r="E25" s="5"/>
      <c r="F25" s="5"/>
      <c r="G25" s="5"/>
      <c r="H25" s="9" t="s">
        <v>24</v>
      </c>
      <c r="M25" s="5"/>
      <c r="N25" s="5"/>
      <c r="O25" s="5"/>
    </row>
    <row r="26" spans="4:15">
      <c r="D26" s="5"/>
      <c r="E26" s="5"/>
      <c r="F26" s="5"/>
      <c r="G26" s="5"/>
      <c r="H26" s="11" t="s">
        <v>22</v>
      </c>
      <c r="M26" s="5"/>
      <c r="N26" s="5"/>
      <c r="O26" s="5"/>
    </row>
    <row r="27" spans="4:15">
      <c r="D27" s="5"/>
      <c r="E27" s="5"/>
      <c r="F27" s="5"/>
      <c r="G27" s="5"/>
      <c r="H27" s="11" t="s">
        <v>25</v>
      </c>
      <c r="M27" s="5"/>
      <c r="N27" s="5"/>
      <c r="O27" s="5"/>
    </row>
    <row r="28" spans="4:15">
      <c r="D28" s="10"/>
      <c r="E28" s="5"/>
      <c r="F28" s="5"/>
      <c r="G28" s="5"/>
      <c r="H28" s="13" t="s">
        <v>40</v>
      </c>
      <c r="O28" s="10"/>
    </row>
    <row r="29" spans="4:15">
      <c r="D29" s="10"/>
      <c r="E29" s="5"/>
      <c r="F29" s="5"/>
      <c r="G29" s="5"/>
      <c r="H29" s="13" t="s">
        <v>23</v>
      </c>
      <c r="O29" s="10"/>
    </row>
    <row r="30" spans="4:15">
      <c r="E30" s="12"/>
      <c r="F30" s="5"/>
      <c r="G30" s="5"/>
      <c r="O30" s="10"/>
    </row>
    <row r="31" spans="4:15" ht="119.25" customHeight="1">
      <c r="E31" s="12"/>
      <c r="F31" s="5"/>
      <c r="G31" s="5"/>
      <c r="H31" s="233" t="s">
        <v>203</v>
      </c>
      <c r="I31" s="234"/>
      <c r="J31" s="234"/>
      <c r="K31" s="234"/>
      <c r="O31" s="10"/>
    </row>
    <row r="32" spans="4:15">
      <c r="D32" s="10"/>
      <c r="E32" s="5"/>
      <c r="F32" s="5"/>
      <c r="G32" s="5"/>
      <c r="H32" s="5"/>
      <c r="O32" s="10"/>
    </row>
    <row r="33" spans="4:15">
      <c r="D33" s="10"/>
      <c r="E33" s="5"/>
      <c r="F33" s="5"/>
      <c r="G33" s="5"/>
      <c r="O33" s="10"/>
    </row>
    <row r="36" spans="4:15">
      <c r="D36" s="68"/>
    </row>
    <row r="61" ht="6" customHeight="1"/>
    <row r="63" ht="7.5" customHeight="1"/>
    <row r="249" spans="22:22">
      <c r="V249" s="68"/>
    </row>
  </sheetData>
  <customSheetViews>
    <customSheetView guid="{67DDFA58-7FF7-4BDB-BFFF-31DB4021D095}" showGridLines="0" topLeftCell="E25">
      <selection activeCell="H12" sqref="H12:L12"/>
      <pageMargins left="0.7" right="0.7" top="0.75" bottom="0.75" header="0.3" footer="0.3"/>
      <pageSetup paperSize="9" orientation="landscape"/>
      <headerFooter alignWithMargins="0"/>
    </customSheetView>
    <customSheetView guid="{7DC6D345-C4C0-4162-8636-D495A245EBF8}" showPageBreaks="1" showGridLines="0" printArea="1" topLeftCell="E25">
      <selection activeCell="H12" sqref="H12:L12"/>
      <pageMargins left="0.7" right="0.7" top="0.75" bottom="0.75" header="0.3" footer="0.3"/>
      <pageSetup paperSize="9" orientation="landscape"/>
      <headerFooter alignWithMargins="0"/>
    </customSheetView>
    <customSheetView guid="{44BC518B-F505-4956-BE42-792973965029}" showPageBreaks="1" showGridLines="0" printArea="1" showRuler="0" topLeftCell="E1">
      <selection activeCell="M263" sqref="M263"/>
      <pageMargins left="0.7" right="0.7" top="0.75" bottom="0.75" header="0.3" footer="0.3"/>
      <pageSetup paperSize="9" orientation="landscape"/>
      <headerFooter alignWithMargins="0"/>
    </customSheetView>
    <customSheetView guid="{C32ED439-2914-4073-BFBF-7718D6CFE811}" showPageBreaks="1" showGridLines="0" printArea="1">
      <selection activeCell="D61" sqref="D61"/>
      <pageMargins left="0.7" right="0.7" top="0.75" bottom="0.75" header="0.3" footer="0.3"/>
      <pageSetup paperSize="9" orientation="landscape"/>
      <headerFooter alignWithMargins="0"/>
    </customSheetView>
    <customSheetView guid="{6A44E415-E6EC-4CA2-8B4C-A374F00F0261}" scale="85" showPageBreaks="1" showGridLines="0" printArea="1" showRuler="0">
      <pageMargins left="0.7" right="0.7" top="0.75" bottom="0.75" header="0.3" footer="0.3"/>
      <pageSetup paperSize="9" orientation="landscape"/>
      <headerFooter alignWithMargins="0"/>
    </customSheetView>
    <customSheetView guid="{F07085DA-2B2D-4BE1-891D-F25D604A092E}" scale="85" showPageBreaks="1" showGridLines="0" printArea="1" showRuler="0" topLeftCell="E5">
      <selection activeCell="A77" sqref="A77"/>
      <pageMargins left="0.7" right="0.7" top="0.75" bottom="0.75" header="0.3" footer="0.3"/>
      <pageSetup paperSize="9" orientation="landscape"/>
      <headerFooter alignWithMargins="0"/>
    </customSheetView>
    <customSheetView guid="{C6BBAF30-1E81-42FB-BA93-01B6813E2C8C}" showPageBreaks="1" showGridLines="0" printArea="1" showRuler="0">
      <pageMargins left="0.7" right="0.7" top="0.75" bottom="0.75" header="0.3" footer="0.3"/>
      <printOptions horizontalCentered="1" verticalCentered="1"/>
      <pageSetup paperSize="9" orientation="landscape"/>
      <headerFooter alignWithMargins="0"/>
    </customSheetView>
  </customSheetViews>
  <mergeCells count="1">
    <mergeCell ref="H31:K31"/>
  </mergeCells>
  <phoneticPr fontId="4" type="noConversion"/>
  <hyperlinks>
    <hyperlink ref="H28" r:id="rId1"/>
    <hyperlink ref="H29" r:id="rId2"/>
  </hyperlinks>
  <pageMargins left="0.23622047244094491" right="0.23622047244094491" top="0.23622047244094491" bottom="0.23622047244094491" header="0.51181102362204722" footer="0.51181102362204722"/>
  <pageSetup paperSize="9" orientation="landscape" r:id="rId3"/>
  <headerFooter alignWithMargins="0"/>
  <drawing r:id="rId4"/>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504"/>
  <sheetViews>
    <sheetView showGridLines="0" tabSelected="1" zoomScale="110" zoomScaleNormal="110" zoomScaleSheetLayoutView="100" workbookViewId="0">
      <pane xSplit="1" ySplit="4" topLeftCell="AV157" activePane="bottomRight" state="frozen"/>
      <selection activeCell="I18" sqref="I18"/>
      <selection pane="topRight" activeCell="I18" sqref="I18"/>
      <selection pane="bottomLeft" activeCell="I18" sqref="I18"/>
      <selection pane="bottomRight" activeCell="BD168" sqref="BD168"/>
    </sheetView>
  </sheetViews>
  <sheetFormatPr defaultColWidth="8.6640625" defaultRowHeight="13.2"/>
  <cols>
    <col min="1" max="1" width="43" customWidth="1"/>
    <col min="2" max="2" width="10.6640625" hidden="1" customWidth="1"/>
    <col min="3" max="10" width="10.44140625" style="4" hidden="1" customWidth="1"/>
    <col min="11" max="16" width="9.33203125" style="4" hidden="1" customWidth="1"/>
    <col min="17" max="17" width="8.6640625" style="4" hidden="1" customWidth="1"/>
    <col min="18" max="21" width="9.33203125" style="4" hidden="1" customWidth="1"/>
    <col min="22" max="22" width="8.6640625" style="4" hidden="1" customWidth="1"/>
    <col min="23" max="26" width="9.33203125" style="4" hidden="1" customWidth="1"/>
    <col min="27" max="27" width="8.6640625" style="4" hidden="1" customWidth="1"/>
    <col min="28" max="28" width="9.33203125" style="4" hidden="1" customWidth="1"/>
    <col min="29" max="29" width="11" style="4" hidden="1" customWidth="1"/>
    <col min="30" max="31" width="9.33203125" style="4" hidden="1" customWidth="1"/>
    <col min="32" max="32" width="8.6640625" style="4" customWidth="1"/>
    <col min="33" max="36" width="9.33203125" style="4" hidden="1" customWidth="1"/>
    <col min="37" max="37" width="8.6640625" style="4"/>
    <col min="38" max="41" width="8.6640625" style="4" hidden="1" customWidth="1"/>
    <col min="42" max="42" width="9.44140625" style="4" bestFit="1" customWidth="1"/>
    <col min="43" max="44" width="8.6640625" style="4"/>
    <col min="45" max="45" width="9.44140625" style="4" bestFit="1" customWidth="1"/>
    <col min="46" max="46" width="8.6640625" style="4"/>
    <col min="47" max="47" width="9.44140625" style="4" bestFit="1" customWidth="1"/>
    <col min="48" max="51" width="8.6640625" style="4"/>
    <col min="52" max="52" width="9" style="4" bestFit="1" customWidth="1"/>
    <col min="53" max="16384" width="8.6640625" style="4"/>
  </cols>
  <sheetData>
    <row r="1" spans="1:57" ht="15.6">
      <c r="A1" s="30"/>
      <c r="B1" s="30"/>
      <c r="C1" s="66"/>
      <c r="D1" s="66"/>
      <c r="E1" s="66"/>
      <c r="F1" s="66"/>
      <c r="G1" s="66"/>
      <c r="H1" s="66"/>
      <c r="I1" s="66"/>
      <c r="J1" s="66"/>
      <c r="K1" s="66"/>
      <c r="L1" s="66"/>
      <c r="M1" s="32"/>
      <c r="N1" s="32"/>
      <c r="O1" s="32"/>
    </row>
    <row r="2" spans="1:57" ht="15.6">
      <c r="A2" s="30"/>
      <c r="B2" s="30"/>
      <c r="C2" s="32"/>
      <c r="D2" s="66"/>
      <c r="E2" s="66"/>
      <c r="F2" s="66"/>
      <c r="G2" s="66"/>
      <c r="H2" s="32"/>
      <c r="I2" s="32"/>
      <c r="J2" s="32"/>
      <c r="K2" s="32"/>
      <c r="L2" s="32"/>
      <c r="M2" s="32"/>
      <c r="N2" s="32"/>
      <c r="O2" s="32"/>
    </row>
    <row r="3" spans="1:57" s="25" customFormat="1">
      <c r="A3" s="31"/>
      <c r="B3" s="47" t="s">
        <v>5</v>
      </c>
      <c r="C3" s="47" t="s">
        <v>6</v>
      </c>
      <c r="D3" s="47" t="s">
        <v>0</v>
      </c>
      <c r="E3" s="47" t="s">
        <v>1</v>
      </c>
      <c r="F3" s="47" t="s">
        <v>2</v>
      </c>
      <c r="G3" s="47" t="s">
        <v>5</v>
      </c>
      <c r="H3" s="47" t="s">
        <v>6</v>
      </c>
      <c r="I3" s="47" t="s">
        <v>0</v>
      </c>
      <c r="J3" s="47" t="s">
        <v>1</v>
      </c>
      <c r="K3" s="47" t="s">
        <v>2</v>
      </c>
      <c r="L3" s="47" t="s">
        <v>5</v>
      </c>
      <c r="M3" s="47" t="s">
        <v>6</v>
      </c>
      <c r="N3" s="47" t="s">
        <v>0</v>
      </c>
      <c r="O3" s="47" t="s">
        <v>1</v>
      </c>
      <c r="P3" s="47" t="s">
        <v>2</v>
      </c>
      <c r="Q3" s="47" t="s">
        <v>5</v>
      </c>
      <c r="R3" s="47" t="s">
        <v>6</v>
      </c>
      <c r="S3" s="47" t="s">
        <v>0</v>
      </c>
      <c r="T3" s="47" t="s">
        <v>1</v>
      </c>
      <c r="U3" s="47" t="s">
        <v>2</v>
      </c>
      <c r="V3" s="47" t="s">
        <v>5</v>
      </c>
      <c r="W3" s="47" t="s">
        <v>6</v>
      </c>
      <c r="X3" s="47" t="s">
        <v>0</v>
      </c>
      <c r="Y3" s="47" t="s">
        <v>1</v>
      </c>
      <c r="Z3" s="47" t="s">
        <v>2</v>
      </c>
      <c r="AA3" s="47" t="s">
        <v>5</v>
      </c>
      <c r="AB3" s="47" t="s">
        <v>94</v>
      </c>
      <c r="AC3" s="47" t="s">
        <v>0</v>
      </c>
      <c r="AD3" s="47" t="s">
        <v>1</v>
      </c>
      <c r="AE3" s="47" t="s">
        <v>2</v>
      </c>
      <c r="AF3" s="47" t="s">
        <v>5</v>
      </c>
      <c r="AG3" s="47" t="s">
        <v>94</v>
      </c>
      <c r="AH3" s="47" t="s">
        <v>0</v>
      </c>
      <c r="AI3" s="47" t="s">
        <v>1</v>
      </c>
      <c r="AJ3" s="47" t="s">
        <v>2</v>
      </c>
      <c r="AK3" s="47" t="s">
        <v>5</v>
      </c>
      <c r="AL3" s="47" t="s">
        <v>94</v>
      </c>
      <c r="AM3" s="47" t="s">
        <v>0</v>
      </c>
      <c r="AN3" s="47" t="s">
        <v>1</v>
      </c>
      <c r="AO3" s="47" t="s">
        <v>2</v>
      </c>
      <c r="AP3" s="47" t="s">
        <v>5</v>
      </c>
      <c r="AQ3" s="47" t="s">
        <v>94</v>
      </c>
      <c r="AR3" s="47" t="s">
        <v>0</v>
      </c>
      <c r="AS3" s="47" t="s">
        <v>1</v>
      </c>
      <c r="AT3" s="47" t="s">
        <v>2</v>
      </c>
      <c r="AU3" s="47" t="s">
        <v>5</v>
      </c>
      <c r="AV3" s="47" t="s">
        <v>94</v>
      </c>
      <c r="AW3" s="47" t="s">
        <v>0</v>
      </c>
      <c r="AX3" s="47" t="s">
        <v>1</v>
      </c>
      <c r="AY3" s="47" t="s">
        <v>2</v>
      </c>
      <c r="AZ3" s="47" t="s">
        <v>5</v>
      </c>
      <c r="BA3" s="47" t="s">
        <v>94</v>
      </c>
      <c r="BB3" s="47" t="s">
        <v>0</v>
      </c>
      <c r="BC3" s="47" t="s">
        <v>1</v>
      </c>
      <c r="BD3" s="47" t="s">
        <v>2</v>
      </c>
      <c r="BE3" s="47" t="s">
        <v>5</v>
      </c>
    </row>
    <row r="4" spans="1:57" s="57" customFormat="1" ht="12" customHeight="1">
      <c r="A4" s="58" t="s">
        <v>45</v>
      </c>
      <c r="B4" s="47">
        <v>2007</v>
      </c>
      <c r="C4" s="47">
        <v>2008</v>
      </c>
      <c r="D4" s="47">
        <v>2008</v>
      </c>
      <c r="E4" s="47">
        <v>2008</v>
      </c>
      <c r="F4" s="47">
        <v>2008</v>
      </c>
      <c r="G4" s="47">
        <v>2008</v>
      </c>
      <c r="H4" s="47">
        <v>2009</v>
      </c>
      <c r="I4" s="47">
        <v>2009</v>
      </c>
      <c r="J4" s="47">
        <v>2009</v>
      </c>
      <c r="K4" s="47">
        <v>2009</v>
      </c>
      <c r="L4" s="47">
        <v>2009</v>
      </c>
      <c r="M4" s="47">
        <v>2010</v>
      </c>
      <c r="N4" s="47">
        <v>2010</v>
      </c>
      <c r="O4" s="47">
        <v>2010</v>
      </c>
      <c r="P4" s="47">
        <v>2010</v>
      </c>
      <c r="Q4" s="47">
        <v>2010</v>
      </c>
      <c r="R4" s="47">
        <v>2011</v>
      </c>
      <c r="S4" s="47">
        <v>2011</v>
      </c>
      <c r="T4" s="47">
        <v>2011</v>
      </c>
      <c r="U4" s="47">
        <v>2011</v>
      </c>
      <c r="V4" s="47">
        <v>2011</v>
      </c>
      <c r="W4" s="47">
        <v>2012</v>
      </c>
      <c r="X4" s="47">
        <v>2012</v>
      </c>
      <c r="Y4" s="47">
        <v>2012</v>
      </c>
      <c r="Z4" s="47">
        <v>2012</v>
      </c>
      <c r="AA4" s="47">
        <v>2012</v>
      </c>
      <c r="AB4" s="47">
        <v>2013</v>
      </c>
      <c r="AC4" s="47">
        <v>2013</v>
      </c>
      <c r="AD4" s="47">
        <v>2013</v>
      </c>
      <c r="AE4" s="47">
        <v>2013</v>
      </c>
      <c r="AF4" s="47">
        <v>2013</v>
      </c>
      <c r="AG4" s="47">
        <v>2014</v>
      </c>
      <c r="AH4" s="47">
        <v>2014</v>
      </c>
      <c r="AI4" s="47">
        <v>2014</v>
      </c>
      <c r="AJ4" s="47">
        <v>2014</v>
      </c>
      <c r="AK4" s="47">
        <v>2014</v>
      </c>
      <c r="AL4" s="47">
        <v>2015</v>
      </c>
      <c r="AM4" s="47">
        <v>2015</v>
      </c>
      <c r="AN4" s="47">
        <v>2015</v>
      </c>
      <c r="AO4" s="47">
        <v>2015</v>
      </c>
      <c r="AP4" s="47">
        <v>2015</v>
      </c>
      <c r="AQ4" s="47">
        <v>2016</v>
      </c>
      <c r="AR4" s="47">
        <v>2016</v>
      </c>
      <c r="AS4" s="47">
        <v>2016</v>
      </c>
      <c r="AT4" s="47">
        <v>2016</v>
      </c>
      <c r="AU4" s="47">
        <v>2016</v>
      </c>
      <c r="AV4" s="47">
        <v>2017</v>
      </c>
      <c r="AW4" s="47">
        <v>2017</v>
      </c>
      <c r="AX4" s="47">
        <v>2017</v>
      </c>
      <c r="AY4" s="47">
        <v>2017</v>
      </c>
      <c r="AZ4" s="47">
        <v>2017</v>
      </c>
      <c r="BA4" s="47">
        <v>2018</v>
      </c>
      <c r="BB4" s="47">
        <v>2018</v>
      </c>
      <c r="BC4" s="47">
        <v>2018</v>
      </c>
      <c r="BD4" s="47">
        <v>2018</v>
      </c>
      <c r="BE4" s="47">
        <v>2018</v>
      </c>
    </row>
    <row r="5" spans="1:57" s="25" customFormat="1" ht="4.5" customHeight="1">
      <c r="A5" s="44"/>
      <c r="B5" s="44"/>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row>
    <row r="6" spans="1:57" ht="21">
      <c r="A6" s="35" t="s">
        <v>96</v>
      </c>
      <c r="B6" s="35"/>
      <c r="C6" s="27"/>
      <c r="D6" s="27"/>
      <c r="E6" s="27"/>
      <c r="F6" s="27"/>
      <c r="G6" s="27"/>
      <c r="H6" s="27"/>
      <c r="I6" s="27"/>
      <c r="J6" s="27"/>
      <c r="K6" s="27"/>
      <c r="L6" s="27"/>
      <c r="M6" s="27"/>
      <c r="N6" s="27"/>
      <c r="O6" s="27"/>
      <c r="P6" s="27"/>
      <c r="Q6" s="27"/>
      <c r="R6" s="27"/>
      <c r="S6" s="27"/>
      <c r="T6" s="27"/>
      <c r="U6" s="21"/>
      <c r="V6" s="21"/>
      <c r="W6" s="27"/>
      <c r="X6" s="27"/>
      <c r="Y6" s="27"/>
      <c r="Z6" s="21"/>
      <c r="AA6" s="21"/>
      <c r="AB6" s="21"/>
      <c r="AC6" s="27"/>
      <c r="AD6" s="27"/>
      <c r="AE6" s="21"/>
      <c r="AF6" s="21"/>
      <c r="AG6" s="21"/>
      <c r="AH6" s="27"/>
      <c r="AI6" s="27"/>
      <c r="AJ6" s="21"/>
      <c r="AK6" s="21"/>
      <c r="AL6" s="21"/>
      <c r="AM6" s="21"/>
      <c r="AN6" s="21"/>
      <c r="AO6" s="21"/>
      <c r="AP6" s="21"/>
      <c r="AQ6" s="21"/>
      <c r="AR6" s="21"/>
      <c r="AS6" s="21"/>
      <c r="AT6" s="21"/>
      <c r="AU6" s="21"/>
      <c r="AV6" s="21"/>
      <c r="AW6" s="21"/>
      <c r="AX6" s="21"/>
      <c r="AY6" s="21"/>
      <c r="AZ6" s="21"/>
      <c r="BA6" s="21"/>
      <c r="BB6" s="21"/>
      <c r="BC6" s="21"/>
      <c r="BD6" s="21"/>
      <c r="BE6" s="21"/>
    </row>
    <row r="7" spans="1:57" ht="2.25" customHeight="1">
      <c r="A7" s="61"/>
      <c r="B7" s="61"/>
      <c r="C7" s="62"/>
      <c r="D7" s="62"/>
      <c r="E7" s="62"/>
      <c r="F7" s="62"/>
      <c r="G7" s="62"/>
      <c r="H7" s="62"/>
      <c r="I7" s="62"/>
      <c r="J7" s="62"/>
      <c r="K7" s="62"/>
      <c r="L7" s="62"/>
      <c r="M7" s="62"/>
      <c r="N7" s="62"/>
      <c r="O7" s="62"/>
      <c r="P7" s="62"/>
      <c r="Q7" s="62"/>
      <c r="R7" s="62"/>
      <c r="S7" s="62"/>
      <c r="T7" s="62"/>
      <c r="U7" s="61"/>
      <c r="V7" s="61"/>
      <c r="W7" s="62"/>
      <c r="X7" s="62"/>
      <c r="Y7" s="62"/>
      <c r="Z7" s="61"/>
      <c r="AA7" s="61"/>
      <c r="AB7" s="61"/>
      <c r="AC7" s="62"/>
      <c r="AD7" s="62"/>
      <c r="AE7" s="61"/>
      <c r="AF7" s="61"/>
      <c r="AG7" s="61"/>
      <c r="AH7" s="62"/>
      <c r="AI7" s="62"/>
      <c r="AJ7" s="61"/>
      <c r="AK7" s="61"/>
      <c r="AL7" s="61"/>
      <c r="AM7" s="61"/>
      <c r="AN7" s="61"/>
      <c r="AO7" s="61"/>
      <c r="AP7" s="61"/>
      <c r="AQ7" s="61"/>
      <c r="AR7" s="61"/>
      <c r="AS7" s="61"/>
      <c r="AT7" s="61"/>
      <c r="AU7" s="61"/>
      <c r="AV7" s="61"/>
      <c r="AW7" s="61"/>
      <c r="AX7" s="61"/>
      <c r="AY7" s="61"/>
      <c r="AZ7" s="61"/>
      <c r="BA7" s="61"/>
      <c r="BB7" s="61"/>
      <c r="BC7" s="61"/>
      <c r="BD7" s="61"/>
      <c r="BE7" s="61"/>
    </row>
    <row r="8" spans="1:57">
      <c r="A8" s="40" t="s">
        <v>29</v>
      </c>
      <c r="B8" s="40"/>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row>
    <row r="9" spans="1:57" s="36" customFormat="1">
      <c r="A9" s="69" t="s">
        <v>16</v>
      </c>
      <c r="B9" s="65">
        <v>11136</v>
      </c>
      <c r="C9" s="70">
        <v>2760</v>
      </c>
      <c r="D9" s="70">
        <v>2748</v>
      </c>
      <c r="E9" s="70">
        <v>2806</v>
      </c>
      <c r="F9" s="70">
        <v>2701</v>
      </c>
      <c r="G9" s="65">
        <v>11015</v>
      </c>
      <c r="H9" s="70">
        <v>2791</v>
      </c>
      <c r="I9" s="70">
        <v>2872</v>
      </c>
      <c r="J9" s="70">
        <v>2924</v>
      </c>
      <c r="K9" s="70">
        <f>L9-J9-I9-H9</f>
        <v>2932</v>
      </c>
      <c r="L9" s="65">
        <v>11519</v>
      </c>
      <c r="M9" s="70">
        <v>2915</v>
      </c>
      <c r="N9" s="70">
        <v>2981</v>
      </c>
      <c r="O9" s="70">
        <v>3033</v>
      </c>
      <c r="P9" s="70">
        <f>Q9-O9-N9-M9</f>
        <v>3058</v>
      </c>
      <c r="Q9" s="65">
        <v>11987</v>
      </c>
      <c r="R9" s="70">
        <v>2913</v>
      </c>
      <c r="S9" s="70">
        <v>2893</v>
      </c>
      <c r="T9" s="70">
        <v>2917</v>
      </c>
      <c r="U9" s="70">
        <f>V9-T9-S9-R9</f>
        <v>2650</v>
      </c>
      <c r="V9" s="65">
        <v>11373</v>
      </c>
      <c r="W9" s="70">
        <v>2740</v>
      </c>
      <c r="X9" s="70">
        <v>2595</v>
      </c>
      <c r="Y9" s="70">
        <v>2494</v>
      </c>
      <c r="Z9" s="70">
        <f>AA9-Y9-X9-W9</f>
        <v>2449</v>
      </c>
      <c r="AA9" s="65">
        <v>10278</v>
      </c>
      <c r="AB9" s="70">
        <v>2405</v>
      </c>
      <c r="AC9" s="70">
        <v>2351</v>
      </c>
      <c r="AD9" s="70">
        <v>2398</v>
      </c>
      <c r="AE9" s="70">
        <f>AF9-AD9-AC9-AB9</f>
        <v>2409</v>
      </c>
      <c r="AF9" s="65">
        <v>9563</v>
      </c>
      <c r="AG9" s="70">
        <v>2311</v>
      </c>
      <c r="AH9" s="70">
        <v>2250</v>
      </c>
      <c r="AI9" s="70">
        <v>2232</v>
      </c>
      <c r="AJ9" s="70">
        <v>2262</v>
      </c>
      <c r="AK9" s="65">
        <v>9055</v>
      </c>
      <c r="AL9" s="70">
        <v>2174</v>
      </c>
      <c r="AM9" s="70">
        <v>2603</v>
      </c>
      <c r="AN9" s="70">
        <v>2602</v>
      </c>
      <c r="AO9" s="70">
        <v>2606</v>
      </c>
      <c r="AP9" s="65">
        <v>9985</v>
      </c>
      <c r="AQ9" s="70">
        <v>2559</v>
      </c>
      <c r="AR9" s="70">
        <v>2511</v>
      </c>
      <c r="AS9" s="70">
        <v>2510</v>
      </c>
      <c r="AT9" s="70">
        <v>2504</v>
      </c>
      <c r="AU9" s="65">
        <v>10084</v>
      </c>
      <c r="AV9" s="70">
        <v>2453</v>
      </c>
      <c r="AW9" s="70">
        <v>2463</v>
      </c>
      <c r="AX9" s="70">
        <v>2415</v>
      </c>
      <c r="AY9" s="70">
        <v>2458</v>
      </c>
      <c r="AZ9" s="65">
        <v>9789</v>
      </c>
      <c r="BA9" s="70">
        <v>2361</v>
      </c>
      <c r="BB9" s="70">
        <v>2333</v>
      </c>
      <c r="BC9" s="70">
        <v>2301</v>
      </c>
      <c r="BD9" s="70">
        <v>2326</v>
      </c>
      <c r="BE9" s="65">
        <v>9321</v>
      </c>
    </row>
    <row r="10" spans="1:57">
      <c r="A10" s="71" t="s">
        <v>7</v>
      </c>
      <c r="B10" s="24"/>
      <c r="C10" s="72"/>
      <c r="D10" s="72">
        <f>D9/C9-1</f>
        <v>-4.3478260869564966E-3</v>
      </c>
      <c r="E10" s="72">
        <f>E9/D9-1</f>
        <v>2.1106259097525504E-2</v>
      </c>
      <c r="F10" s="72">
        <f>F9/E9-1</f>
        <v>-3.7419814682822516E-2</v>
      </c>
      <c r="G10" s="24"/>
      <c r="H10" s="72">
        <f>H9/F9-1</f>
        <v>3.3320992225101875E-2</v>
      </c>
      <c r="I10" s="72">
        <f>I9/H9-1</f>
        <v>2.9021855965603693E-2</v>
      </c>
      <c r="J10" s="72">
        <f>J9/I9-1</f>
        <v>1.8105849582172651E-2</v>
      </c>
      <c r="K10" s="72">
        <f>K9/J9-1</f>
        <v>2.7359781121751858E-3</v>
      </c>
      <c r="L10" s="24"/>
      <c r="M10" s="72">
        <f>M9/K9-1</f>
        <v>-5.7980900409276837E-3</v>
      </c>
      <c r="N10" s="72">
        <f>N9/M9-1</f>
        <v>2.2641509433962259E-2</v>
      </c>
      <c r="O10" s="72">
        <f>O9/N9-1</f>
        <v>1.7443810801744286E-2</v>
      </c>
      <c r="P10" s="72">
        <f>P9/O9-1</f>
        <v>8.2426640290140796E-3</v>
      </c>
      <c r="Q10" s="24"/>
      <c r="R10" s="72">
        <f>R9/P9-1</f>
        <v>-4.7416612164813632E-2</v>
      </c>
      <c r="S10" s="72">
        <f>S9/R9-1</f>
        <v>-6.8657741160316199E-3</v>
      </c>
      <c r="T10" s="72">
        <f>T9/S9-1</f>
        <v>8.295886622882831E-3</v>
      </c>
      <c r="U10" s="72">
        <f>U9/T9-1</f>
        <v>-9.1532396297566043E-2</v>
      </c>
      <c r="V10" s="24"/>
      <c r="W10" s="72">
        <f>W9/U9-1</f>
        <v>3.3962264150943389E-2</v>
      </c>
      <c r="X10" s="72">
        <f>X9/W9-1</f>
        <v>-5.2919708029197099E-2</v>
      </c>
      <c r="Y10" s="72">
        <f>Y9/X9-1</f>
        <v>-3.8921001926782273E-2</v>
      </c>
      <c r="Z10" s="72">
        <f>Z9/Y9-1</f>
        <v>-1.8043303929430654E-2</v>
      </c>
      <c r="AA10" s="24"/>
      <c r="AB10" s="72">
        <f>AB9/Z9-1</f>
        <v>-1.7966516945692068E-2</v>
      </c>
      <c r="AC10" s="72">
        <f>AC9/AB9-1</f>
        <v>-2.2453222453222454E-2</v>
      </c>
      <c r="AD10" s="72">
        <f>AD9/AC9-1</f>
        <v>1.9991492981709991E-2</v>
      </c>
      <c r="AE10" s="72">
        <f>AE9/AD9-1</f>
        <v>4.5871559633028358E-3</v>
      </c>
      <c r="AF10" s="24"/>
      <c r="AG10" s="72">
        <v>-4.0680780406807782E-2</v>
      </c>
      <c r="AH10" s="72">
        <v>-2.6395499783643417E-2</v>
      </c>
      <c r="AI10" s="72">
        <v>-8.0000000000000071E-3</v>
      </c>
      <c r="AJ10" s="72">
        <v>1.3440860215053752E-2</v>
      </c>
      <c r="AK10" s="24"/>
      <c r="AL10" s="72">
        <v>-3.89036251105217E-2</v>
      </c>
      <c r="AM10" s="72">
        <v>0.19733210671573143</v>
      </c>
      <c r="AN10" s="72">
        <v>-3.8417210910490773E-4</v>
      </c>
      <c r="AO10" s="72">
        <v>1.537279016141424E-3</v>
      </c>
      <c r="AP10" s="24"/>
      <c r="AQ10" s="72">
        <v>-1.8035303146584858E-2</v>
      </c>
      <c r="AR10" s="72">
        <v>-1.8757327080890951E-2</v>
      </c>
      <c r="AS10" s="72">
        <v>-3.9824771007568316E-4</v>
      </c>
      <c r="AT10" s="72">
        <v>-2.3904382470119057E-3</v>
      </c>
      <c r="AU10" s="24"/>
      <c r="AV10" s="72">
        <v>-2.0367412140575025E-2</v>
      </c>
      <c r="AW10" s="72">
        <v>4.0766408479413485E-3</v>
      </c>
      <c r="AX10" s="72">
        <v>-1.948842874543244E-2</v>
      </c>
      <c r="AY10" s="72">
        <v>1.7805383022774235E-2</v>
      </c>
      <c r="AZ10" s="24"/>
      <c r="BA10" s="72">
        <v>-3.9462978030919471E-2</v>
      </c>
      <c r="BB10" s="72">
        <v>-1.185938161795852E-2</v>
      </c>
      <c r="BC10" s="72">
        <v>-1.3716245177882502E-2</v>
      </c>
      <c r="BD10" s="72">
        <v>1.0864841373315892E-2</v>
      </c>
      <c r="BE10" s="24"/>
    </row>
    <row r="11" spans="1:57">
      <c r="A11" s="71" t="s">
        <v>8</v>
      </c>
      <c r="B11" s="24"/>
      <c r="C11" s="73"/>
      <c r="D11" s="73"/>
      <c r="E11" s="73"/>
      <c r="F11" s="73"/>
      <c r="G11" s="24">
        <f t="shared" ref="G11:N11" si="0">G9/B9-1</f>
        <v>-1.0865660919540221E-2</v>
      </c>
      <c r="H11" s="73">
        <f t="shared" si="0"/>
        <v>1.1231884057971042E-2</v>
      </c>
      <c r="I11" s="73">
        <f t="shared" si="0"/>
        <v>4.512372634643369E-2</v>
      </c>
      <c r="J11" s="73">
        <f t="shared" si="0"/>
        <v>4.2052744119743357E-2</v>
      </c>
      <c r="K11" s="73">
        <f t="shared" si="0"/>
        <v>8.5523880044428013E-2</v>
      </c>
      <c r="L11" s="24">
        <f t="shared" si="0"/>
        <v>4.5755787562414829E-2</v>
      </c>
      <c r="M11" s="73">
        <f t="shared" si="0"/>
        <v>4.4428520243640302E-2</v>
      </c>
      <c r="N11" s="73">
        <f t="shared" si="0"/>
        <v>3.79526462395543E-2</v>
      </c>
      <c r="O11" s="73">
        <f t="shared" ref="O11:Y11" si="1">O9/J9-1</f>
        <v>3.7277701778385852E-2</v>
      </c>
      <c r="P11" s="73">
        <f t="shared" si="1"/>
        <v>4.2974079126875786E-2</v>
      </c>
      <c r="Q11" s="24">
        <f t="shared" si="1"/>
        <v>4.0628526781838703E-2</v>
      </c>
      <c r="R11" s="73">
        <f t="shared" si="1"/>
        <v>-6.8610634648369473E-4</v>
      </c>
      <c r="S11" s="73">
        <f t="shared" si="1"/>
        <v>-2.9520295202952074E-2</v>
      </c>
      <c r="T11" s="73">
        <f t="shared" si="1"/>
        <v>-3.8245961094625747E-2</v>
      </c>
      <c r="U11" s="73">
        <f t="shared" si="1"/>
        <v>-0.13342053629823414</v>
      </c>
      <c r="V11" s="24">
        <f t="shared" si="1"/>
        <v>-5.1222157337115215E-2</v>
      </c>
      <c r="W11" s="73">
        <f t="shared" si="1"/>
        <v>-5.9388946103673179E-2</v>
      </c>
      <c r="X11" s="73">
        <f t="shared" si="1"/>
        <v>-0.10300725890079498</v>
      </c>
      <c r="Y11" s="73">
        <f t="shared" si="1"/>
        <v>-0.14501199862872816</v>
      </c>
      <c r="Z11" s="73">
        <f t="shared" ref="Z11:AE11" si="2">Z9/U9-1</f>
        <v>-7.5849056603773612E-2</v>
      </c>
      <c r="AA11" s="24">
        <f t="shared" si="2"/>
        <v>-9.6280664732260601E-2</v>
      </c>
      <c r="AB11" s="73">
        <f t="shared" si="2"/>
        <v>-0.12226277372262773</v>
      </c>
      <c r="AC11" s="73">
        <f t="shared" si="2"/>
        <v>-9.4026974951830433E-2</v>
      </c>
      <c r="AD11" s="73">
        <f t="shared" si="2"/>
        <v>-3.8492381716118684E-2</v>
      </c>
      <c r="AE11" s="73">
        <f t="shared" si="2"/>
        <v>-1.6333197223356466E-2</v>
      </c>
      <c r="AF11" s="24">
        <v>-6.9566063436466208E-2</v>
      </c>
      <c r="AG11" s="73">
        <v>-3.9085239085239087E-2</v>
      </c>
      <c r="AH11" s="73">
        <v>-4.2960442364951112E-2</v>
      </c>
      <c r="AI11" s="73">
        <v>-6.9224353628023372E-2</v>
      </c>
      <c r="AJ11" s="73">
        <v>-6.1021170610211728E-2</v>
      </c>
      <c r="AK11" s="24">
        <v>-5.3121405416710288E-2</v>
      </c>
      <c r="AL11" s="73">
        <v>-5.928169623539592E-2</v>
      </c>
      <c r="AM11" s="73">
        <v>0.15688888888888886</v>
      </c>
      <c r="AN11" s="73">
        <v>0.16577060931899634</v>
      </c>
      <c r="AO11" s="73">
        <v>0.15207780725022113</v>
      </c>
      <c r="AP11" s="24">
        <v>0.10270568746548858</v>
      </c>
      <c r="AQ11" s="73">
        <v>0.17709291628334856</v>
      </c>
      <c r="AR11" s="73">
        <v>-3.5343834037648847E-2</v>
      </c>
      <c r="AS11" s="73">
        <v>-3.5357417371252864E-2</v>
      </c>
      <c r="AT11" s="73">
        <v>-3.9140445126630841E-2</v>
      </c>
      <c r="AU11" s="24">
        <v>9.9148723084627743E-3</v>
      </c>
      <c r="AV11" s="73">
        <v>-4.14224306369676E-2</v>
      </c>
      <c r="AW11" s="73">
        <v>-1.9115890083632014E-2</v>
      </c>
      <c r="AX11" s="73">
        <v>-3.7848605577689209E-2</v>
      </c>
      <c r="AY11" s="73">
        <v>-1.8370607028754038E-2</v>
      </c>
      <c r="AZ11" s="24">
        <v>-2.9254264180880618E-2</v>
      </c>
      <c r="BA11" s="73">
        <v>-3.7505095801059873E-2</v>
      </c>
      <c r="BB11" s="73">
        <v>-5.2781161185546099E-2</v>
      </c>
      <c r="BC11" s="73">
        <v>-4.7204968944099424E-2</v>
      </c>
      <c r="BD11" s="73">
        <v>-5.3702196908055333E-2</v>
      </c>
      <c r="BE11" s="24">
        <v>-4.7808764940239001E-2</v>
      </c>
    </row>
    <row r="12" spans="1:57" s="36" customFormat="1">
      <c r="A12" s="69" t="s">
        <v>11</v>
      </c>
      <c r="B12" s="65">
        <v>1509</v>
      </c>
      <c r="C12" s="70">
        <v>368</v>
      </c>
      <c r="D12" s="70">
        <v>361</v>
      </c>
      <c r="E12" s="70">
        <v>365</v>
      </c>
      <c r="F12" s="70">
        <v>364</v>
      </c>
      <c r="G12" s="65">
        <v>1458</v>
      </c>
      <c r="H12" s="70">
        <v>371</v>
      </c>
      <c r="I12" s="70">
        <v>377</v>
      </c>
      <c r="J12" s="70">
        <v>361</v>
      </c>
      <c r="K12" s="70">
        <f>L12-J12-I12-H12</f>
        <v>376</v>
      </c>
      <c r="L12" s="65">
        <v>1485</v>
      </c>
      <c r="M12" s="70">
        <v>343</v>
      </c>
      <c r="N12" s="70">
        <v>348</v>
      </c>
      <c r="O12" s="70">
        <v>350</v>
      </c>
      <c r="P12" s="70">
        <f>Q12-O12-N12-M12</f>
        <v>368</v>
      </c>
      <c r="Q12" s="65">
        <v>1409</v>
      </c>
      <c r="R12" s="70">
        <v>335</v>
      </c>
      <c r="S12" s="70">
        <v>348</v>
      </c>
      <c r="T12" s="70">
        <v>357</v>
      </c>
      <c r="U12" s="70">
        <f>V12-T12-S12-R12</f>
        <v>355</v>
      </c>
      <c r="V12" s="65">
        <v>1395</v>
      </c>
      <c r="W12" s="70">
        <v>358</v>
      </c>
      <c r="X12" s="70">
        <v>358</v>
      </c>
      <c r="Y12" s="70">
        <v>359</v>
      </c>
      <c r="Z12" s="70">
        <f>AA12-Y12-X12-W12</f>
        <v>361</v>
      </c>
      <c r="AA12" s="65">
        <v>1436</v>
      </c>
      <c r="AB12" s="70">
        <v>328</v>
      </c>
      <c r="AC12" s="70">
        <v>326</v>
      </c>
      <c r="AD12" s="70">
        <v>329</v>
      </c>
      <c r="AE12" s="70">
        <f>AF12-AD12-AC12-AB12</f>
        <v>328</v>
      </c>
      <c r="AF12" s="65">
        <v>1311</v>
      </c>
      <c r="AG12" s="70">
        <v>314</v>
      </c>
      <c r="AH12" s="70">
        <v>319</v>
      </c>
      <c r="AI12" s="70">
        <v>327</v>
      </c>
      <c r="AJ12" s="70">
        <v>321</v>
      </c>
      <c r="AK12" s="65">
        <v>1281</v>
      </c>
      <c r="AL12" s="70">
        <v>317</v>
      </c>
      <c r="AM12" s="70">
        <v>451</v>
      </c>
      <c r="AN12" s="70">
        <v>457</v>
      </c>
      <c r="AO12" s="70">
        <v>459</v>
      </c>
      <c r="AP12" s="65">
        <v>1684</v>
      </c>
      <c r="AQ12" s="70">
        <v>449</v>
      </c>
      <c r="AR12" s="70">
        <v>440</v>
      </c>
      <c r="AS12" s="70">
        <v>442</v>
      </c>
      <c r="AT12" s="70">
        <v>408</v>
      </c>
      <c r="AU12" s="65">
        <v>1739</v>
      </c>
      <c r="AV12" s="70">
        <v>428</v>
      </c>
      <c r="AW12" s="70">
        <v>424</v>
      </c>
      <c r="AX12" s="70">
        <v>436</v>
      </c>
      <c r="AY12" s="70">
        <v>427</v>
      </c>
      <c r="AZ12" s="65">
        <v>1715</v>
      </c>
      <c r="BA12" s="70">
        <v>525</v>
      </c>
      <c r="BB12" s="70">
        <v>537</v>
      </c>
      <c r="BC12" s="70">
        <v>547</v>
      </c>
      <c r="BD12" s="70">
        <v>580</v>
      </c>
      <c r="BE12" s="65">
        <v>2189</v>
      </c>
    </row>
    <row r="13" spans="1:57">
      <c r="A13" s="71" t="s">
        <v>7</v>
      </c>
      <c r="B13" s="24"/>
      <c r="C13" s="72"/>
      <c r="D13" s="72">
        <f>D12/C12-1</f>
        <v>-1.9021739130434812E-2</v>
      </c>
      <c r="E13" s="72">
        <f>E12/D12-1</f>
        <v>1.1080332409972193E-2</v>
      </c>
      <c r="F13" s="72">
        <f>F12/E12-1</f>
        <v>-2.739726027397249E-3</v>
      </c>
      <c r="G13" s="24"/>
      <c r="H13" s="72">
        <f>H12/F12-1</f>
        <v>1.9230769230769162E-2</v>
      </c>
      <c r="I13" s="72">
        <f>I12/H12-1</f>
        <v>1.6172506738544534E-2</v>
      </c>
      <c r="J13" s="72">
        <f>J12/I12-1</f>
        <v>-4.2440318302387259E-2</v>
      </c>
      <c r="K13" s="72">
        <f>K12/J12-1</f>
        <v>4.1551246537396169E-2</v>
      </c>
      <c r="L13" s="24"/>
      <c r="M13" s="72">
        <f>M12/K12-1</f>
        <v>-8.7765957446808485E-2</v>
      </c>
      <c r="N13" s="72">
        <f>N12/M12-1</f>
        <v>1.4577259475218707E-2</v>
      </c>
      <c r="O13" s="72">
        <f>O12/N12-1</f>
        <v>5.7471264367816577E-3</v>
      </c>
      <c r="P13" s="72">
        <f>P12/O12-1</f>
        <v>5.1428571428571379E-2</v>
      </c>
      <c r="Q13" s="24"/>
      <c r="R13" s="72">
        <f>R12/P12-1</f>
        <v>-8.9673913043478271E-2</v>
      </c>
      <c r="S13" s="72">
        <f>S12/R12-1</f>
        <v>3.8805970149253799E-2</v>
      </c>
      <c r="T13" s="72">
        <f>T12/S12-1</f>
        <v>2.5862068965517349E-2</v>
      </c>
      <c r="U13" s="72">
        <f>U12/T12-1</f>
        <v>-5.6022408963585235E-3</v>
      </c>
      <c r="V13" s="24"/>
      <c r="W13" s="72">
        <f>W12/U12-1</f>
        <v>8.4507042253521014E-3</v>
      </c>
      <c r="X13" s="72">
        <f>X12/W12-1</f>
        <v>0</v>
      </c>
      <c r="Y13" s="72">
        <f>Y12/X12-1</f>
        <v>2.7932960893854997E-3</v>
      </c>
      <c r="Z13" s="72">
        <f>Z12/Y12-1</f>
        <v>5.5710306406684396E-3</v>
      </c>
      <c r="AA13" s="24"/>
      <c r="AB13" s="72">
        <f>AB12/Z12-1</f>
        <v>-9.1412742382271484E-2</v>
      </c>
      <c r="AC13" s="72">
        <f>AC12/AB12-1</f>
        <v>-6.0975609756097615E-3</v>
      </c>
      <c r="AD13" s="72">
        <f>AD12/AC12-1</f>
        <v>9.2024539877300082E-3</v>
      </c>
      <c r="AE13" s="72">
        <f>AE12/AD12-1</f>
        <v>-3.0395136778115228E-3</v>
      </c>
      <c r="AF13" s="24"/>
      <c r="AG13" s="72">
        <v>-4.2682926829268331E-2</v>
      </c>
      <c r="AH13" s="72">
        <v>1.5923566878980999E-2</v>
      </c>
      <c r="AI13" s="72">
        <v>2.5078369905956022E-2</v>
      </c>
      <c r="AJ13" s="72">
        <v>-1.834862385321101E-2</v>
      </c>
      <c r="AK13" s="24"/>
      <c r="AL13" s="72">
        <v>-1.2461059190031154E-2</v>
      </c>
      <c r="AM13" s="72">
        <v>0.42271293375394325</v>
      </c>
      <c r="AN13" s="72">
        <v>1.3303769401330268E-2</v>
      </c>
      <c r="AO13" s="72">
        <v>4.3763676148795838E-3</v>
      </c>
      <c r="AP13" s="24"/>
      <c r="AQ13" s="72">
        <v>-2.1786492374727628E-2</v>
      </c>
      <c r="AR13" s="72">
        <v>-2.0044543429844075E-2</v>
      </c>
      <c r="AS13" s="72">
        <v>4.5454545454546302E-3</v>
      </c>
      <c r="AT13" s="72">
        <v>-7.6923076923076872E-2</v>
      </c>
      <c r="AU13" s="24"/>
      <c r="AV13" s="72">
        <v>4.9019607843137303E-2</v>
      </c>
      <c r="AW13" s="72">
        <v>-9.3457943925233655E-3</v>
      </c>
      <c r="AX13" s="72">
        <v>2.8301886792452935E-2</v>
      </c>
      <c r="AY13" s="72">
        <v>-2.0642201834862428E-2</v>
      </c>
      <c r="AZ13" s="24"/>
      <c r="BA13" s="72">
        <v>0.22950819672131151</v>
      </c>
      <c r="BB13" s="72">
        <v>2.2857142857142909E-2</v>
      </c>
      <c r="BC13" s="72">
        <v>1.862197392923659E-2</v>
      </c>
      <c r="BD13" s="72">
        <v>6.0329067641681888E-2</v>
      </c>
      <c r="BE13" s="24"/>
    </row>
    <row r="14" spans="1:57">
      <c r="A14" s="71" t="s">
        <v>8</v>
      </c>
      <c r="B14" s="24"/>
      <c r="C14" s="73"/>
      <c r="D14" s="73"/>
      <c r="E14" s="73"/>
      <c r="F14" s="73"/>
      <c r="G14" s="24">
        <f t="shared" ref="G14:N14" si="3">G12/B12-1</f>
        <v>-3.379721669980118E-2</v>
      </c>
      <c r="H14" s="73">
        <f t="shared" si="3"/>
        <v>8.152173913043459E-3</v>
      </c>
      <c r="I14" s="73">
        <f t="shared" si="3"/>
        <v>4.4321329639889218E-2</v>
      </c>
      <c r="J14" s="73">
        <f t="shared" si="3"/>
        <v>-1.0958904109588996E-2</v>
      </c>
      <c r="K14" s="73">
        <f t="shared" si="3"/>
        <v>3.2967032967033072E-2</v>
      </c>
      <c r="L14" s="24">
        <f t="shared" si="3"/>
        <v>1.8518518518518601E-2</v>
      </c>
      <c r="M14" s="73">
        <f t="shared" si="3"/>
        <v>-7.547169811320753E-2</v>
      </c>
      <c r="N14" s="73">
        <f t="shared" si="3"/>
        <v>-7.6923076923076872E-2</v>
      </c>
      <c r="O14" s="73">
        <f t="shared" ref="O14:Y14" si="4">O12/J12-1</f>
        <v>-3.0470914127423865E-2</v>
      </c>
      <c r="P14" s="73">
        <f t="shared" si="4"/>
        <v>-2.1276595744680882E-2</v>
      </c>
      <c r="Q14" s="24">
        <f t="shared" si="4"/>
        <v>-5.1178451178451212E-2</v>
      </c>
      <c r="R14" s="73">
        <f t="shared" si="4"/>
        <v>-2.3323615160349864E-2</v>
      </c>
      <c r="S14" s="73">
        <f t="shared" si="4"/>
        <v>0</v>
      </c>
      <c r="T14" s="73">
        <f t="shared" si="4"/>
        <v>2.0000000000000018E-2</v>
      </c>
      <c r="U14" s="73">
        <f t="shared" si="4"/>
        <v>-3.5326086956521729E-2</v>
      </c>
      <c r="V14" s="24">
        <f t="shared" si="4"/>
        <v>-9.936124911284594E-3</v>
      </c>
      <c r="W14" s="73">
        <f t="shared" si="4"/>
        <v>6.8656716417910379E-2</v>
      </c>
      <c r="X14" s="73">
        <f t="shared" si="4"/>
        <v>2.8735632183908066E-2</v>
      </c>
      <c r="Y14" s="73">
        <f t="shared" si="4"/>
        <v>5.6022408963585235E-3</v>
      </c>
      <c r="Z14" s="73">
        <f t="shared" ref="Z14:AE14" si="5">Z12/U12-1</f>
        <v>1.6901408450704203E-2</v>
      </c>
      <c r="AA14" s="24">
        <f t="shared" si="5"/>
        <v>2.9390681003584218E-2</v>
      </c>
      <c r="AB14" s="73">
        <f t="shared" si="5"/>
        <v>-8.3798882681564213E-2</v>
      </c>
      <c r="AC14" s="73">
        <f t="shared" si="5"/>
        <v>-8.9385474860335212E-2</v>
      </c>
      <c r="AD14" s="73">
        <f t="shared" si="5"/>
        <v>-8.3565459610027815E-2</v>
      </c>
      <c r="AE14" s="73">
        <f t="shared" si="5"/>
        <v>-9.1412742382271484E-2</v>
      </c>
      <c r="AF14" s="24">
        <v>-8.70473537604457E-2</v>
      </c>
      <c r="AG14" s="73">
        <v>-4.2682926829268331E-2</v>
      </c>
      <c r="AH14" s="73">
        <v>-2.1472392638036797E-2</v>
      </c>
      <c r="AI14" s="73">
        <v>-6.0790273556230456E-3</v>
      </c>
      <c r="AJ14" s="73">
        <v>-2.1341463414634165E-2</v>
      </c>
      <c r="AK14" s="24">
        <v>-2.2883295194508046E-2</v>
      </c>
      <c r="AL14" s="73">
        <v>9.5541401273886439E-3</v>
      </c>
      <c r="AM14" s="73">
        <v>0.4137931034482758</v>
      </c>
      <c r="AN14" s="73">
        <v>0.39755351681957185</v>
      </c>
      <c r="AO14" s="73">
        <v>0.42990654205607481</v>
      </c>
      <c r="AP14" s="24">
        <v>0.31459797033567516</v>
      </c>
      <c r="AQ14" s="73">
        <v>0.41640378548895907</v>
      </c>
      <c r="AR14" s="73">
        <v>-2.4390243902439046E-2</v>
      </c>
      <c r="AS14" s="73">
        <v>-3.2822757111597323E-2</v>
      </c>
      <c r="AT14" s="73">
        <v>-0.11111111111111116</v>
      </c>
      <c r="AU14" s="24">
        <v>3.2660332541567749E-2</v>
      </c>
      <c r="AV14" s="73">
        <v>-4.6770601336302842E-2</v>
      </c>
      <c r="AW14" s="73">
        <v>-3.6363636363636376E-2</v>
      </c>
      <c r="AX14" s="73">
        <v>-1.3574660633484115E-2</v>
      </c>
      <c r="AY14" s="73">
        <v>4.6568627450980449E-2</v>
      </c>
      <c r="AZ14" s="24">
        <v>-1.3801035077630863E-2</v>
      </c>
      <c r="BA14" s="73">
        <v>0.22663551401869153</v>
      </c>
      <c r="BB14" s="73">
        <v>0.26650943396226423</v>
      </c>
      <c r="BC14" s="73">
        <v>0.25458715596330284</v>
      </c>
      <c r="BD14" s="73">
        <v>0.35831381733021073</v>
      </c>
      <c r="BE14" s="24">
        <v>0.27638483965014582</v>
      </c>
    </row>
    <row r="15" spans="1:57">
      <c r="A15" s="69" t="s">
        <v>81</v>
      </c>
      <c r="B15" s="65">
        <v>2192</v>
      </c>
      <c r="C15" s="80" t="s">
        <v>52</v>
      </c>
      <c r="D15" s="80" t="s">
        <v>52</v>
      </c>
      <c r="E15" s="80" t="s">
        <v>52</v>
      </c>
      <c r="F15" s="80" t="s">
        <v>52</v>
      </c>
      <c r="G15" s="65">
        <v>2161</v>
      </c>
      <c r="H15" s="120" t="s">
        <v>44</v>
      </c>
      <c r="I15" s="120" t="s">
        <v>44</v>
      </c>
      <c r="J15" s="120" t="s">
        <v>44</v>
      </c>
      <c r="K15" s="120" t="s">
        <v>44</v>
      </c>
      <c r="L15" s="65">
        <v>1990</v>
      </c>
      <c r="M15" s="70">
        <v>505</v>
      </c>
      <c r="N15" s="70">
        <v>489</v>
      </c>
      <c r="O15" s="70">
        <v>492</v>
      </c>
      <c r="P15" s="70">
        <f>Q15-O15-N15-M15</f>
        <v>538</v>
      </c>
      <c r="Q15" s="65">
        <v>2024</v>
      </c>
      <c r="R15" s="70">
        <v>532</v>
      </c>
      <c r="S15" s="70">
        <v>540</v>
      </c>
      <c r="T15" s="70">
        <v>540</v>
      </c>
      <c r="U15" s="70">
        <f>V15-T15-S15-R15</f>
        <v>478</v>
      </c>
      <c r="V15" s="65">
        <v>2090</v>
      </c>
      <c r="W15" s="70">
        <v>511</v>
      </c>
      <c r="X15" s="70">
        <v>505</v>
      </c>
      <c r="Y15" s="70">
        <v>511</v>
      </c>
      <c r="Z15" s="70">
        <f>AA15-Y15-X15-W15</f>
        <v>449</v>
      </c>
      <c r="AA15" s="65">
        <v>1976</v>
      </c>
      <c r="AB15" s="70">
        <v>499</v>
      </c>
      <c r="AC15" s="70">
        <v>468</v>
      </c>
      <c r="AD15" s="70">
        <v>464</v>
      </c>
      <c r="AE15" s="70">
        <f>AF15-AD15-AC15-AB15</f>
        <v>441</v>
      </c>
      <c r="AF15" s="65">
        <v>1872</v>
      </c>
      <c r="AG15" s="70">
        <v>448</v>
      </c>
      <c r="AH15" s="70">
        <v>443</v>
      </c>
      <c r="AI15" s="70">
        <v>437</v>
      </c>
      <c r="AJ15" s="70">
        <v>440</v>
      </c>
      <c r="AK15" s="65">
        <v>1768</v>
      </c>
      <c r="AL15" s="70">
        <v>439</v>
      </c>
      <c r="AM15" s="70">
        <v>497</v>
      </c>
      <c r="AN15" s="70">
        <v>506</v>
      </c>
      <c r="AO15" s="70">
        <v>515</v>
      </c>
      <c r="AP15" s="65">
        <v>1957</v>
      </c>
      <c r="AQ15" s="70">
        <v>513</v>
      </c>
      <c r="AR15" s="70">
        <v>495</v>
      </c>
      <c r="AS15" s="70">
        <v>501</v>
      </c>
      <c r="AT15" s="70">
        <v>503</v>
      </c>
      <c r="AU15" s="65">
        <v>2012</v>
      </c>
      <c r="AV15" s="70">
        <v>504</v>
      </c>
      <c r="AW15" s="70">
        <v>494</v>
      </c>
      <c r="AX15" s="70">
        <v>502</v>
      </c>
      <c r="AY15" s="70">
        <v>505</v>
      </c>
      <c r="AZ15" s="65">
        <v>2005</v>
      </c>
      <c r="BA15" s="70">
        <v>510</v>
      </c>
      <c r="BB15" s="70">
        <v>503</v>
      </c>
      <c r="BC15" s="70">
        <v>494</v>
      </c>
      <c r="BD15" s="70">
        <v>485</v>
      </c>
      <c r="BE15" s="65">
        <v>1992</v>
      </c>
    </row>
    <row r="16" spans="1:57">
      <c r="A16" s="71" t="s">
        <v>7</v>
      </c>
      <c r="B16" s="24"/>
      <c r="C16" s="73"/>
      <c r="D16" s="73"/>
      <c r="E16" s="73"/>
      <c r="F16" s="73"/>
      <c r="G16" s="24"/>
      <c r="H16" s="72"/>
      <c r="I16" s="72"/>
      <c r="J16" s="72"/>
      <c r="K16" s="72"/>
      <c r="L16" s="24"/>
      <c r="M16" s="72"/>
      <c r="N16" s="72">
        <f>N15/M15-1</f>
        <v>-3.1683168316831711E-2</v>
      </c>
      <c r="O16" s="72">
        <f>O15/N15-1</f>
        <v>6.1349693251533388E-3</v>
      </c>
      <c r="P16" s="72">
        <f>P15/O15-1</f>
        <v>9.3495934959349603E-2</v>
      </c>
      <c r="Q16" s="24"/>
      <c r="R16" s="72">
        <f>R15/P15-1</f>
        <v>-1.1152416356877359E-2</v>
      </c>
      <c r="S16" s="72">
        <f>S15/R15-1</f>
        <v>1.5037593984962516E-2</v>
      </c>
      <c r="T16" s="72">
        <f>T15/S15-1</f>
        <v>0</v>
      </c>
      <c r="U16" s="72">
        <f>U15/T15-1</f>
        <v>-0.11481481481481481</v>
      </c>
      <c r="V16" s="24"/>
      <c r="W16" s="72">
        <f>W15/U15-1</f>
        <v>6.9037656903765621E-2</v>
      </c>
      <c r="X16" s="72">
        <f>X15/W15-1</f>
        <v>-1.1741682974559686E-2</v>
      </c>
      <c r="Y16" s="72">
        <f>Y15/X15-1</f>
        <v>1.1881188118811892E-2</v>
      </c>
      <c r="Z16" s="72">
        <f>Z15/Y15-1</f>
        <v>-0.12133072407045009</v>
      </c>
      <c r="AA16" s="24"/>
      <c r="AB16" s="72">
        <f>AB15/Z15-1</f>
        <v>0.11135857461024501</v>
      </c>
      <c r="AC16" s="72">
        <f>AC15/AB15-1</f>
        <v>-6.2124248496993939E-2</v>
      </c>
      <c r="AD16" s="72">
        <f>AD15/AC15-1</f>
        <v>-8.5470085470085166E-3</v>
      </c>
      <c r="AE16" s="72">
        <f>AE15/AD15-1</f>
        <v>-4.9568965517241326E-2</v>
      </c>
      <c r="AF16" s="24"/>
      <c r="AG16" s="72">
        <v>1.5873015873015817E-2</v>
      </c>
      <c r="AH16" s="72">
        <v>-1.1160714285714302E-2</v>
      </c>
      <c r="AI16" s="72">
        <v>-1.3544018058690765E-2</v>
      </c>
      <c r="AJ16" s="72">
        <v>6.8649885583524917E-3</v>
      </c>
      <c r="AK16" s="24"/>
      <c r="AL16" s="72">
        <v>-2.2727272727273151E-3</v>
      </c>
      <c r="AM16" s="72">
        <v>0.13211845102505704</v>
      </c>
      <c r="AN16" s="72">
        <v>1.810865191146882E-2</v>
      </c>
      <c r="AO16" s="72">
        <v>1.7786561264822032E-2</v>
      </c>
      <c r="AP16" s="24"/>
      <c r="AQ16" s="72">
        <v>-3.8834951456310218E-3</v>
      </c>
      <c r="AR16" s="72">
        <v>-3.5087719298245612E-2</v>
      </c>
      <c r="AS16" s="72">
        <v>1.2121212121212199E-2</v>
      </c>
      <c r="AT16" s="72">
        <v>3.9920159680639777E-3</v>
      </c>
      <c r="AU16" s="24"/>
      <c r="AV16" s="72">
        <v>1.9880715705764551E-3</v>
      </c>
      <c r="AW16" s="72">
        <v>-1.9841269841269882E-2</v>
      </c>
      <c r="AX16" s="72">
        <v>1.6194331983805599E-2</v>
      </c>
      <c r="AY16" s="72">
        <v>5.9760956175298752E-3</v>
      </c>
      <c r="AZ16" s="24"/>
      <c r="BA16" s="72">
        <v>9.9009900990099098E-3</v>
      </c>
      <c r="BB16" s="72">
        <v>-1.3725490196078383E-2</v>
      </c>
      <c r="BC16" s="72">
        <v>-1.7892644135188873E-2</v>
      </c>
      <c r="BD16" s="72">
        <v>-1.8218623481781382E-2</v>
      </c>
      <c r="BE16" s="24"/>
    </row>
    <row r="17" spans="1:57">
      <c r="A17" s="71" t="s">
        <v>8</v>
      </c>
      <c r="B17" s="24"/>
      <c r="C17" s="73"/>
      <c r="D17" s="73"/>
      <c r="E17" s="73"/>
      <c r="F17" s="73"/>
      <c r="G17" s="24">
        <f>G15/B15-1</f>
        <v>-1.414233576642332E-2</v>
      </c>
      <c r="H17" s="73"/>
      <c r="I17" s="73"/>
      <c r="J17" s="73"/>
      <c r="K17" s="73"/>
      <c r="L17" s="24">
        <f>L15/G15-1</f>
        <v>-7.9130032392410898E-2</v>
      </c>
      <c r="M17" s="73"/>
      <c r="N17" s="73"/>
      <c r="O17" s="72"/>
      <c r="P17" s="70"/>
      <c r="Q17" s="24">
        <f t="shared" ref="Q17:Y17" si="6">Q15/L15-1</f>
        <v>1.7085427135678399E-2</v>
      </c>
      <c r="R17" s="73">
        <f t="shared" si="6"/>
        <v>5.3465346534653513E-2</v>
      </c>
      <c r="S17" s="73">
        <f t="shared" si="6"/>
        <v>0.10429447852760743</v>
      </c>
      <c r="T17" s="73">
        <f t="shared" si="6"/>
        <v>9.7560975609756184E-2</v>
      </c>
      <c r="U17" s="73">
        <f t="shared" si="6"/>
        <v>-0.11152416356877326</v>
      </c>
      <c r="V17" s="24">
        <f t="shared" si="6"/>
        <v>3.2608695652173836E-2</v>
      </c>
      <c r="W17" s="73">
        <f t="shared" si="6"/>
        <v>-3.9473684210526327E-2</v>
      </c>
      <c r="X17" s="73">
        <f t="shared" si="6"/>
        <v>-6.481481481481477E-2</v>
      </c>
      <c r="Y17" s="73">
        <f t="shared" si="6"/>
        <v>-5.3703703703703698E-2</v>
      </c>
      <c r="Z17" s="73">
        <f t="shared" ref="Z17:AE17" si="7">Z15/U15-1</f>
        <v>-6.0669456066945626E-2</v>
      </c>
      <c r="AA17" s="24">
        <f t="shared" si="7"/>
        <v>-5.4545454545454564E-2</v>
      </c>
      <c r="AB17" s="73">
        <f t="shared" si="7"/>
        <v>-2.3483365949119372E-2</v>
      </c>
      <c r="AC17" s="73">
        <f t="shared" si="7"/>
        <v>-7.3267326732673221E-2</v>
      </c>
      <c r="AD17" s="73">
        <f t="shared" si="7"/>
        <v>-9.1976516634050931E-2</v>
      </c>
      <c r="AE17" s="73">
        <f t="shared" si="7"/>
        <v>-1.7817371937639215E-2</v>
      </c>
      <c r="AF17" s="24">
        <v>-5.2631578947368474E-2</v>
      </c>
      <c r="AG17" s="73">
        <v>-0.10220440881763526</v>
      </c>
      <c r="AH17" s="73">
        <v>-5.3418803418803451E-2</v>
      </c>
      <c r="AI17" s="73">
        <v>-5.8189655172413812E-2</v>
      </c>
      <c r="AJ17" s="73">
        <v>-2.2675736961451642E-3</v>
      </c>
      <c r="AK17" s="24">
        <v>-5.555555555555558E-2</v>
      </c>
      <c r="AL17" s="73">
        <v>-2.0089285714285698E-2</v>
      </c>
      <c r="AM17" s="73">
        <v>0.12189616252821667</v>
      </c>
      <c r="AN17" s="73">
        <v>0.15789473684210531</v>
      </c>
      <c r="AO17" s="73">
        <v>0.17045454545454541</v>
      </c>
      <c r="AP17" s="24">
        <v>0.10690045248868785</v>
      </c>
      <c r="AQ17" s="73">
        <v>0.16856492027334857</v>
      </c>
      <c r="AR17" s="73">
        <v>-4.0241448692153181E-3</v>
      </c>
      <c r="AS17" s="73">
        <v>-9.8814229249012397E-3</v>
      </c>
      <c r="AT17" s="73">
        <v>-2.3300970873786353E-2</v>
      </c>
      <c r="AU17" s="24">
        <v>2.8104241185487933E-2</v>
      </c>
      <c r="AV17" s="73">
        <v>-1.7543859649122862E-2</v>
      </c>
      <c r="AW17" s="73">
        <v>-2.0202020202020332E-3</v>
      </c>
      <c r="AX17" s="73">
        <v>1.9960079840319889E-3</v>
      </c>
      <c r="AY17" s="73">
        <v>3.9761431411531323E-3</v>
      </c>
      <c r="AZ17" s="24">
        <v>-3.4791252485089075E-3</v>
      </c>
      <c r="BA17" s="73">
        <v>1.1904761904761862E-2</v>
      </c>
      <c r="BB17" s="73">
        <v>1.8218623481781382E-2</v>
      </c>
      <c r="BC17" s="73">
        <v>-1.5936254980079667E-2</v>
      </c>
      <c r="BD17" s="73">
        <v>-3.9603960396039639E-2</v>
      </c>
      <c r="BE17" s="24">
        <v>-6.4837905236907467E-3</v>
      </c>
    </row>
    <row r="18" spans="1:57">
      <c r="A18" s="69" t="s">
        <v>279</v>
      </c>
      <c r="B18" s="65">
        <v>39</v>
      </c>
      <c r="C18" s="80" t="s">
        <v>52</v>
      </c>
      <c r="D18" s="80" t="s">
        <v>52</v>
      </c>
      <c r="E18" s="80" t="s">
        <v>52</v>
      </c>
      <c r="F18" s="80" t="s">
        <v>52</v>
      </c>
      <c r="G18" s="65">
        <v>96</v>
      </c>
      <c r="H18" s="120" t="s">
        <v>44</v>
      </c>
      <c r="I18" s="120" t="s">
        <v>44</v>
      </c>
      <c r="J18" s="120" t="s">
        <v>44</v>
      </c>
      <c r="K18" s="120" t="s">
        <v>44</v>
      </c>
      <c r="L18" s="65">
        <v>201</v>
      </c>
      <c r="M18" s="186">
        <v>-25</v>
      </c>
      <c r="N18" s="186">
        <v>-70</v>
      </c>
      <c r="O18" s="186">
        <v>-59</v>
      </c>
      <c r="P18" s="186">
        <f>Q18-O18-N18-M18</f>
        <v>-62</v>
      </c>
      <c r="Q18" s="178">
        <v>-216</v>
      </c>
      <c r="R18" s="186">
        <v>250</v>
      </c>
      <c r="S18" s="186">
        <v>-62</v>
      </c>
      <c r="T18" s="186">
        <v>-106</v>
      </c>
      <c r="U18" s="186">
        <f>V18-T18-S18-R18</f>
        <v>57</v>
      </c>
      <c r="V18" s="65">
        <v>139</v>
      </c>
      <c r="W18" s="186">
        <v>-23</v>
      </c>
      <c r="X18" s="186">
        <v>17</v>
      </c>
      <c r="Y18" s="186">
        <v>-6</v>
      </c>
      <c r="Z18" s="186">
        <f>AA18-Y18-X18-W18</f>
        <v>-2</v>
      </c>
      <c r="AA18" s="178">
        <v>-14</v>
      </c>
      <c r="AB18" s="186">
        <v>-72</v>
      </c>
      <c r="AC18" s="186">
        <v>-18</v>
      </c>
      <c r="AD18" s="186">
        <v>-6</v>
      </c>
      <c r="AE18" s="186">
        <f>AF18-AD18-AC18-AB18</f>
        <v>81</v>
      </c>
      <c r="AF18" s="178">
        <v>-15</v>
      </c>
      <c r="AG18" s="186">
        <v>-8</v>
      </c>
      <c r="AH18" s="186">
        <v>-568</v>
      </c>
      <c r="AI18" s="186">
        <v>-25</v>
      </c>
      <c r="AJ18" s="186">
        <v>15</v>
      </c>
      <c r="AK18" s="178">
        <v>-586</v>
      </c>
      <c r="AL18" s="186">
        <v>-17</v>
      </c>
      <c r="AM18" s="186">
        <v>-141</v>
      </c>
      <c r="AN18" s="186">
        <v>-13</v>
      </c>
      <c r="AO18" s="186">
        <v>76</v>
      </c>
      <c r="AP18" s="178">
        <v>-95</v>
      </c>
      <c r="AQ18" s="186">
        <v>5</v>
      </c>
      <c r="AR18" s="186">
        <v>-12</v>
      </c>
      <c r="AS18" s="186">
        <v>-26</v>
      </c>
      <c r="AT18" s="186">
        <v>33</v>
      </c>
      <c r="AU18" s="178">
        <v>0</v>
      </c>
      <c r="AV18" s="186">
        <v>-4</v>
      </c>
      <c r="AW18" s="186">
        <v>-1</v>
      </c>
      <c r="AX18" s="186">
        <v>-23</v>
      </c>
      <c r="AY18" s="186">
        <v>9</v>
      </c>
      <c r="AZ18" s="178">
        <v>-19</v>
      </c>
      <c r="BA18" s="186">
        <v>23</v>
      </c>
      <c r="BB18" s="186">
        <v>84</v>
      </c>
      <c r="BC18" s="186">
        <v>16</v>
      </c>
      <c r="BD18" s="186">
        <v>511</v>
      </c>
      <c r="BE18" s="178">
        <v>634</v>
      </c>
    </row>
    <row r="19" spans="1:57" ht="14.25" customHeight="1">
      <c r="A19" s="69" t="s">
        <v>252</v>
      </c>
      <c r="B19" s="65"/>
      <c r="C19" s="80"/>
      <c r="D19" s="80"/>
      <c r="E19" s="80"/>
      <c r="F19" s="80"/>
      <c r="G19" s="65"/>
      <c r="H19" s="120"/>
      <c r="I19" s="120"/>
      <c r="J19" s="120"/>
      <c r="K19" s="120"/>
      <c r="L19" s="65"/>
      <c r="M19" s="186"/>
      <c r="N19" s="186"/>
      <c r="O19" s="186"/>
      <c r="P19" s="186"/>
      <c r="Q19" s="178"/>
      <c r="R19" s="186"/>
      <c r="S19" s="186"/>
      <c r="T19" s="186"/>
      <c r="U19" s="186"/>
      <c r="V19" s="65"/>
      <c r="W19" s="186"/>
      <c r="X19" s="186"/>
      <c r="Y19" s="186"/>
      <c r="Z19" s="186"/>
      <c r="AA19" s="178"/>
      <c r="AB19" s="186"/>
      <c r="AC19" s="186"/>
      <c r="AD19" s="186"/>
      <c r="AE19" s="186"/>
      <c r="AF19" s="153" t="s">
        <v>147</v>
      </c>
      <c r="AG19" s="186"/>
      <c r="AH19" s="186"/>
      <c r="AI19" s="186"/>
      <c r="AJ19" s="186"/>
      <c r="AK19" s="153" t="s">
        <v>147</v>
      </c>
      <c r="AL19" s="186"/>
      <c r="AM19" s="186"/>
      <c r="AN19" s="186"/>
      <c r="AO19" s="186"/>
      <c r="AP19" s="153" t="s">
        <v>147</v>
      </c>
      <c r="AQ19" s="186" t="s">
        <v>147</v>
      </c>
      <c r="AR19" s="186" t="s">
        <v>147</v>
      </c>
      <c r="AS19" s="186" t="s">
        <v>147</v>
      </c>
      <c r="AT19" s="186" t="s">
        <v>147</v>
      </c>
      <c r="AU19" s="153" t="s">
        <v>147</v>
      </c>
      <c r="AV19" s="186" t="s">
        <v>147</v>
      </c>
      <c r="AW19" s="186" t="s">
        <v>147</v>
      </c>
      <c r="AX19" s="186" t="s">
        <v>147</v>
      </c>
      <c r="AY19" s="186">
        <v>87</v>
      </c>
      <c r="AZ19" s="178">
        <v>87</v>
      </c>
      <c r="BA19" s="186" t="s">
        <v>147</v>
      </c>
      <c r="BB19" s="186" t="s">
        <v>147</v>
      </c>
      <c r="BC19" s="186" t="s">
        <v>147</v>
      </c>
      <c r="BD19" s="186">
        <v>1675</v>
      </c>
      <c r="BE19" s="178">
        <v>1675</v>
      </c>
    </row>
    <row r="20" spans="1:57" s="36" customFormat="1" ht="16.5" customHeight="1">
      <c r="A20" s="69" t="s">
        <v>275</v>
      </c>
      <c r="B20" s="65">
        <v>2321</v>
      </c>
      <c r="C20" s="70">
        <v>641</v>
      </c>
      <c r="D20" s="70">
        <v>772</v>
      </c>
      <c r="E20" s="70">
        <v>775</v>
      </c>
      <c r="F20" s="70">
        <v>452</v>
      </c>
      <c r="G20" s="65">
        <v>2640</v>
      </c>
      <c r="H20" s="70">
        <v>799</v>
      </c>
      <c r="I20" s="70">
        <v>818</v>
      </c>
      <c r="J20" s="70">
        <v>875</v>
      </c>
      <c r="K20" s="70">
        <f>L20-J20-I20-H20</f>
        <v>480</v>
      </c>
      <c r="L20" s="65">
        <v>2972</v>
      </c>
      <c r="M20" s="70">
        <v>874</v>
      </c>
      <c r="N20" s="70">
        <v>990</v>
      </c>
      <c r="O20" s="70">
        <v>979</v>
      </c>
      <c r="P20" s="70">
        <f>Q20-O20-N20-M20</f>
        <v>901</v>
      </c>
      <c r="Q20" s="65">
        <v>3744</v>
      </c>
      <c r="R20" s="70">
        <v>665</v>
      </c>
      <c r="S20" s="70">
        <v>935</v>
      </c>
      <c r="T20" s="70">
        <v>944</v>
      </c>
      <c r="U20" s="70">
        <f>V20-T20-S20-R20</f>
        <v>711</v>
      </c>
      <c r="V20" s="65">
        <v>3255</v>
      </c>
      <c r="W20" s="70">
        <v>850</v>
      </c>
      <c r="X20" s="70">
        <v>746</v>
      </c>
      <c r="Y20" s="70">
        <v>667</v>
      </c>
      <c r="Z20" s="70">
        <f>AA20-Y20-X20-W20</f>
        <v>778</v>
      </c>
      <c r="AA20" s="65">
        <v>3041</v>
      </c>
      <c r="AB20" s="70">
        <v>761</v>
      </c>
      <c r="AC20" s="70">
        <v>744</v>
      </c>
      <c r="AD20" s="70">
        <v>721</v>
      </c>
      <c r="AE20" s="70">
        <f>AF20-AD20-AC20-AB20</f>
        <v>593</v>
      </c>
      <c r="AF20" s="65">
        <v>2819</v>
      </c>
      <c r="AG20" s="70">
        <v>688</v>
      </c>
      <c r="AH20" s="70">
        <v>1234</v>
      </c>
      <c r="AI20" s="70">
        <v>671</v>
      </c>
      <c r="AJ20" s="70">
        <v>633</v>
      </c>
      <c r="AK20" s="65">
        <v>3226</v>
      </c>
      <c r="AL20" s="70">
        <v>636</v>
      </c>
      <c r="AM20" s="70">
        <v>794</v>
      </c>
      <c r="AN20" s="70">
        <v>652</v>
      </c>
      <c r="AO20" s="70">
        <v>488</v>
      </c>
      <c r="AP20" s="65">
        <v>2570</v>
      </c>
      <c r="AQ20" s="70">
        <v>574</v>
      </c>
      <c r="AR20" s="70">
        <v>616</v>
      </c>
      <c r="AS20" s="70">
        <v>599</v>
      </c>
      <c r="AT20" s="70">
        <v>532</v>
      </c>
      <c r="AU20" s="65">
        <v>2321</v>
      </c>
      <c r="AV20" s="70">
        <v>566</v>
      </c>
      <c r="AW20" s="70">
        <v>573</v>
      </c>
      <c r="AX20" s="70">
        <v>544</v>
      </c>
      <c r="AY20" s="70">
        <v>427</v>
      </c>
      <c r="AZ20" s="65">
        <v>2110</v>
      </c>
      <c r="BA20" s="70">
        <v>462</v>
      </c>
      <c r="BB20" s="70">
        <v>371</v>
      </c>
      <c r="BC20" s="70">
        <v>429</v>
      </c>
      <c r="BD20" s="186">
        <v>-1810</v>
      </c>
      <c r="BE20" s="178">
        <v>-548</v>
      </c>
    </row>
    <row r="21" spans="1:57">
      <c r="A21" s="71" t="s">
        <v>7</v>
      </c>
      <c r="B21" s="24"/>
      <c r="C21" s="72"/>
      <c r="D21" s="72">
        <f>D20/C20-1</f>
        <v>0.20436817472698898</v>
      </c>
      <c r="E21" s="72">
        <f>E20/D20-1</f>
        <v>3.8860103626943143E-3</v>
      </c>
      <c r="F21" s="72">
        <f>F20/E20-1</f>
        <v>-0.41677419354838707</v>
      </c>
      <c r="G21" s="24"/>
      <c r="H21" s="72">
        <f>H20/F20-1</f>
        <v>0.76769911504424782</v>
      </c>
      <c r="I21" s="72">
        <f>I20/H20-1</f>
        <v>2.3779724655819789E-2</v>
      </c>
      <c r="J21" s="72">
        <f>J20/I20-1</f>
        <v>6.968215158924207E-2</v>
      </c>
      <c r="K21" s="72">
        <f>K20/J20-1</f>
        <v>-0.4514285714285714</v>
      </c>
      <c r="L21" s="24"/>
      <c r="M21" s="72">
        <f>M20/K20-1</f>
        <v>0.8208333333333333</v>
      </c>
      <c r="N21" s="72">
        <f>N20/M20-1</f>
        <v>0.13272311212814647</v>
      </c>
      <c r="O21" s="72">
        <f>O20/N20-1</f>
        <v>-1.1111111111111072E-2</v>
      </c>
      <c r="P21" s="72">
        <f>P20/O20-1</f>
        <v>-7.9673135852911137E-2</v>
      </c>
      <c r="Q21" s="24"/>
      <c r="R21" s="72">
        <f>R20/P20-1</f>
        <v>-0.2619311875693674</v>
      </c>
      <c r="S21" s="72">
        <f>S20/R20-1</f>
        <v>0.40601503759398505</v>
      </c>
      <c r="T21" s="72">
        <f>T20/S20-1</f>
        <v>9.6256684491977662E-3</v>
      </c>
      <c r="U21" s="72">
        <f>U20/T20-1</f>
        <v>-0.24682203389830504</v>
      </c>
      <c r="V21" s="24"/>
      <c r="W21" s="72">
        <f>W20/U20-1</f>
        <v>0.19549929676511946</v>
      </c>
      <c r="X21" s="72">
        <f>X20/W20-1</f>
        <v>-0.12235294117647055</v>
      </c>
      <c r="Y21" s="72">
        <f>Y20/X20-1</f>
        <v>-0.10589812332439674</v>
      </c>
      <c r="Z21" s="72">
        <f>Z20/Y20-1</f>
        <v>0.16641679160419787</v>
      </c>
      <c r="AA21" s="24"/>
      <c r="AB21" s="72">
        <f>AB20/Z20-1</f>
        <v>-2.1850899742930641E-2</v>
      </c>
      <c r="AC21" s="72">
        <f>AC20/AB20-1</f>
        <v>-2.2339027595269401E-2</v>
      </c>
      <c r="AD21" s="72">
        <f>AD20/AC20-1</f>
        <v>-3.0913978494623628E-2</v>
      </c>
      <c r="AE21" s="72">
        <f>AE20/AD20-1</f>
        <v>-0.17753120665742028</v>
      </c>
      <c r="AF21" s="24"/>
      <c r="AG21" s="72">
        <v>0.16020236087689721</v>
      </c>
      <c r="AH21" s="72">
        <v>0.79360465116279078</v>
      </c>
      <c r="AI21" s="72">
        <v>-0.45623987034035651</v>
      </c>
      <c r="AJ21" s="72">
        <v>-5.663189269746649E-2</v>
      </c>
      <c r="AK21" s="24"/>
      <c r="AL21" s="72">
        <v>4.7393364928909332E-3</v>
      </c>
      <c r="AM21" s="72">
        <v>0.2484276729559749</v>
      </c>
      <c r="AN21" s="72">
        <v>-0.17884130982367763</v>
      </c>
      <c r="AO21" s="72">
        <v>-0.25153374233128833</v>
      </c>
      <c r="AP21" s="24"/>
      <c r="AQ21" s="72">
        <v>0.17622950819672134</v>
      </c>
      <c r="AR21" s="72">
        <v>7.3170731707317138E-2</v>
      </c>
      <c r="AS21" s="72">
        <v>-2.759740259740262E-2</v>
      </c>
      <c r="AT21" s="72">
        <v>-0.11185308848080133</v>
      </c>
      <c r="AU21" s="24"/>
      <c r="AV21" s="72">
        <v>6.3909774436090139E-2</v>
      </c>
      <c r="AW21" s="72">
        <v>1.2367491166077826E-2</v>
      </c>
      <c r="AX21" s="72">
        <v>-5.0610820244328059E-2</v>
      </c>
      <c r="AY21" s="72">
        <v>-0.21507352941176472</v>
      </c>
      <c r="AZ21" s="24"/>
      <c r="BA21" s="72">
        <v>8.1967213114754189E-2</v>
      </c>
      <c r="BB21" s="72">
        <v>-0.19696969696969702</v>
      </c>
      <c r="BC21" s="72">
        <v>0.15633423180592998</v>
      </c>
      <c r="BD21" s="85" t="s">
        <v>43</v>
      </c>
      <c r="BE21" s="24"/>
    </row>
    <row r="22" spans="1:57">
      <c r="A22" s="71" t="s">
        <v>8</v>
      </c>
      <c r="B22" s="24"/>
      <c r="C22" s="73"/>
      <c r="D22" s="73"/>
      <c r="E22" s="73"/>
      <c r="F22" s="73"/>
      <c r="G22" s="24">
        <f t="shared" ref="G22:N22" si="8">G20/B20-1</f>
        <v>0.13744075829383884</v>
      </c>
      <c r="H22" s="73">
        <f t="shared" si="8"/>
        <v>0.24648985959438385</v>
      </c>
      <c r="I22" s="73">
        <f t="shared" si="8"/>
        <v>5.9585492227979264E-2</v>
      </c>
      <c r="J22" s="73">
        <f t="shared" si="8"/>
        <v>0.12903225806451624</v>
      </c>
      <c r="K22" s="73">
        <f t="shared" si="8"/>
        <v>6.1946902654867353E-2</v>
      </c>
      <c r="L22" s="24">
        <f t="shared" si="8"/>
        <v>0.12575757575757573</v>
      </c>
      <c r="M22" s="73">
        <f t="shared" si="8"/>
        <v>9.3867334167709648E-2</v>
      </c>
      <c r="N22" s="73">
        <f t="shared" si="8"/>
        <v>0.21026894865525669</v>
      </c>
      <c r="O22" s="73">
        <f t="shared" ref="O22:Y22" si="9">O20/J20-1</f>
        <v>0.11885714285714277</v>
      </c>
      <c r="P22" s="73">
        <f t="shared" si="9"/>
        <v>0.87708333333333344</v>
      </c>
      <c r="Q22" s="24">
        <f t="shared" si="9"/>
        <v>0.25975773889636611</v>
      </c>
      <c r="R22" s="73">
        <f t="shared" si="9"/>
        <v>-0.23913043478260865</v>
      </c>
      <c r="S22" s="73">
        <f t="shared" si="9"/>
        <v>-5.555555555555558E-2</v>
      </c>
      <c r="T22" s="73">
        <f t="shared" si="9"/>
        <v>-3.5750766087844776E-2</v>
      </c>
      <c r="U22" s="73">
        <f t="shared" si="9"/>
        <v>-0.21087680355160932</v>
      </c>
      <c r="V22" s="24">
        <f t="shared" si="9"/>
        <v>-0.13060897435897434</v>
      </c>
      <c r="W22" s="73">
        <f t="shared" si="9"/>
        <v>0.27819548872180455</v>
      </c>
      <c r="X22" s="73">
        <f t="shared" si="9"/>
        <v>-0.20213903743315509</v>
      </c>
      <c r="Y22" s="73">
        <f t="shared" si="9"/>
        <v>-0.29343220338983056</v>
      </c>
      <c r="Z22" s="73">
        <f t="shared" ref="Z22:AE22" si="10">Z20/U20-1</f>
        <v>9.4233473980309457E-2</v>
      </c>
      <c r="AA22" s="24">
        <f t="shared" si="10"/>
        <v>-6.5745007680491518E-2</v>
      </c>
      <c r="AB22" s="73">
        <f t="shared" si="10"/>
        <v>-0.1047058823529412</v>
      </c>
      <c r="AC22" s="73">
        <f t="shared" si="10"/>
        <v>-2.6809651474530849E-3</v>
      </c>
      <c r="AD22" s="73">
        <f t="shared" si="10"/>
        <v>8.0959520239880067E-2</v>
      </c>
      <c r="AE22" s="73">
        <f t="shared" si="10"/>
        <v>-0.23778920308483287</v>
      </c>
      <c r="AF22" s="24">
        <v>-7.3002301874383391E-2</v>
      </c>
      <c r="AG22" s="73">
        <v>-9.592641261498025E-2</v>
      </c>
      <c r="AH22" s="73">
        <v>0.65860215053763449</v>
      </c>
      <c r="AI22" s="73">
        <v>-6.9348127600554754E-2</v>
      </c>
      <c r="AJ22" s="73">
        <v>6.7453625632377667E-2</v>
      </c>
      <c r="AK22" s="24">
        <v>0.14437743880808807</v>
      </c>
      <c r="AL22" s="73">
        <v>-7.5581395348837233E-2</v>
      </c>
      <c r="AM22" s="73">
        <v>-0.35656401944894656</v>
      </c>
      <c r="AN22" s="73">
        <v>-2.8315946348733245E-2</v>
      </c>
      <c r="AO22" s="73">
        <v>-0.2290679304897314</v>
      </c>
      <c r="AP22" s="24">
        <v>-0.20334779913205203</v>
      </c>
      <c r="AQ22" s="73">
        <v>-9.7484276729559727E-2</v>
      </c>
      <c r="AR22" s="73">
        <v>-0.22418136020151136</v>
      </c>
      <c r="AS22" s="73">
        <v>-8.1288343558282183E-2</v>
      </c>
      <c r="AT22" s="73">
        <v>9.0163934426229497E-2</v>
      </c>
      <c r="AU22" s="24">
        <v>-9.6887159533073919E-2</v>
      </c>
      <c r="AV22" s="73">
        <v>-1.3937282229965153E-2</v>
      </c>
      <c r="AW22" s="73">
        <v>-6.9805194805194759E-2</v>
      </c>
      <c r="AX22" s="73">
        <v>-9.1819699499165242E-2</v>
      </c>
      <c r="AY22" s="73">
        <v>-0.19736842105263153</v>
      </c>
      <c r="AZ22" s="24">
        <v>-9.0909090909090939E-2</v>
      </c>
      <c r="BA22" s="73">
        <v>-0.18374558303886923</v>
      </c>
      <c r="BB22" s="73">
        <v>-0.35253054101221637</v>
      </c>
      <c r="BC22" s="73">
        <v>-0.21139705882352944</v>
      </c>
      <c r="BD22" s="85" t="s">
        <v>43</v>
      </c>
      <c r="BE22" s="24">
        <v>-1.2597156398104266</v>
      </c>
    </row>
    <row r="23" spans="1:57">
      <c r="A23" s="69" t="s">
        <v>93</v>
      </c>
      <c r="B23" s="65">
        <v>182</v>
      </c>
      <c r="C23" s="80" t="s">
        <v>52</v>
      </c>
      <c r="D23" s="80" t="s">
        <v>52</v>
      </c>
      <c r="E23" s="80" t="s">
        <v>52</v>
      </c>
      <c r="F23" s="80" t="s">
        <v>52</v>
      </c>
      <c r="G23" s="65">
        <v>140</v>
      </c>
      <c r="H23" s="120" t="s">
        <v>44</v>
      </c>
      <c r="I23" s="120" t="s">
        <v>44</v>
      </c>
      <c r="J23" s="120" t="s">
        <v>44</v>
      </c>
      <c r="K23" s="120" t="s">
        <v>44</v>
      </c>
      <c r="L23" s="178">
        <v>-31</v>
      </c>
      <c r="M23" s="70">
        <v>-22</v>
      </c>
      <c r="N23" s="70">
        <v>35</v>
      </c>
      <c r="O23" s="70">
        <v>74</v>
      </c>
      <c r="P23" s="70">
        <f>Q23-O23-N23-M23</f>
        <v>22</v>
      </c>
      <c r="Q23" s="65">
        <v>109</v>
      </c>
      <c r="R23" s="70">
        <v>20</v>
      </c>
      <c r="S23" s="70">
        <v>62</v>
      </c>
      <c r="T23" s="70">
        <v>86</v>
      </c>
      <c r="U23" s="70">
        <f>V23-T23-S23-R23</f>
        <v>44</v>
      </c>
      <c r="V23" s="65">
        <v>212</v>
      </c>
      <c r="W23" s="70">
        <v>-44</v>
      </c>
      <c r="X23" s="70">
        <v>77</v>
      </c>
      <c r="Y23" s="70">
        <v>55</v>
      </c>
      <c r="Z23" s="70">
        <f>AA23-SUM(W23:Y23)</f>
        <v>63</v>
      </c>
      <c r="AA23" s="65">
        <v>151</v>
      </c>
      <c r="AB23" s="70">
        <v>24</v>
      </c>
      <c r="AC23" s="70">
        <v>27</v>
      </c>
      <c r="AD23" s="70">
        <v>45</v>
      </c>
      <c r="AE23" s="70">
        <f>AF23-SUM(AB23:AD23)</f>
        <v>49</v>
      </c>
      <c r="AF23" s="65">
        <v>145</v>
      </c>
      <c r="AG23" s="70">
        <v>42</v>
      </c>
      <c r="AH23" s="70">
        <v>32</v>
      </c>
      <c r="AI23" s="70">
        <v>39</v>
      </c>
      <c r="AJ23" s="70">
        <v>17</v>
      </c>
      <c r="AK23" s="65">
        <v>130</v>
      </c>
      <c r="AL23" s="70">
        <v>37</v>
      </c>
      <c r="AM23" s="70">
        <v>129</v>
      </c>
      <c r="AN23" s="70">
        <v>100</v>
      </c>
      <c r="AO23" s="186">
        <v>-3</v>
      </c>
      <c r="AP23" s="65">
        <v>263</v>
      </c>
      <c r="AQ23" s="70">
        <v>102</v>
      </c>
      <c r="AR23" s="70">
        <v>105</v>
      </c>
      <c r="AS23" s="70">
        <v>104</v>
      </c>
      <c r="AT23" s="186">
        <v>136</v>
      </c>
      <c r="AU23" s="65">
        <v>447</v>
      </c>
      <c r="AV23" s="70">
        <v>101</v>
      </c>
      <c r="AW23" s="70">
        <v>102</v>
      </c>
      <c r="AX23" s="70">
        <v>94</v>
      </c>
      <c r="AY23" s="186">
        <v>120</v>
      </c>
      <c r="AZ23" s="65">
        <v>417</v>
      </c>
      <c r="BA23" s="70">
        <v>108</v>
      </c>
      <c r="BB23" s="70">
        <v>110</v>
      </c>
      <c r="BC23" s="70">
        <v>109</v>
      </c>
      <c r="BD23" s="186">
        <v>108</v>
      </c>
      <c r="BE23" s="65">
        <v>435</v>
      </c>
    </row>
    <row r="24" spans="1:57">
      <c r="A24" s="71" t="s">
        <v>7</v>
      </c>
      <c r="B24" s="24"/>
      <c r="C24" s="73"/>
      <c r="D24" s="73"/>
      <c r="E24" s="73"/>
      <c r="F24" s="73"/>
      <c r="G24" s="24"/>
      <c r="H24" s="73"/>
      <c r="I24" s="73"/>
      <c r="J24" s="73"/>
      <c r="K24" s="73"/>
      <c r="L24" s="24"/>
      <c r="M24" s="73"/>
      <c r="N24" s="72"/>
      <c r="O24" s="72">
        <f>O23/N23-1</f>
        <v>1.1142857142857143</v>
      </c>
      <c r="P24" s="72">
        <f>P23/O23-1</f>
        <v>-0.70270270270270263</v>
      </c>
      <c r="Q24" s="24"/>
      <c r="R24" s="85">
        <f>R23/P23-1</f>
        <v>-9.0909090909090939E-2</v>
      </c>
      <c r="S24" s="85">
        <f>S23/R23-1</f>
        <v>2.1</v>
      </c>
      <c r="T24" s="72">
        <f>T23/S23-1</f>
        <v>0.38709677419354849</v>
      </c>
      <c r="U24" s="85">
        <f>U23/T23-1</f>
        <v>-0.48837209302325579</v>
      </c>
      <c r="V24" s="24"/>
      <c r="W24" s="85"/>
      <c r="X24" s="85"/>
      <c r="Y24" s="85">
        <f>Y23/X23-1</f>
        <v>-0.2857142857142857</v>
      </c>
      <c r="Z24" s="85">
        <f>Z23/Y23-1</f>
        <v>0.1454545454545455</v>
      </c>
      <c r="AA24" s="24"/>
      <c r="AB24" s="72">
        <f>AB23/Z23-1</f>
        <v>-0.61904761904761907</v>
      </c>
      <c r="AC24" s="72">
        <f>AC23/AB23-1</f>
        <v>0.125</v>
      </c>
      <c r="AD24" s="72">
        <f>AD23/AC23-1</f>
        <v>0.66666666666666674</v>
      </c>
      <c r="AE24" s="85">
        <f>AE23/AD23-1</f>
        <v>8.8888888888888795E-2</v>
      </c>
      <c r="AF24" s="24"/>
      <c r="AG24" s="72">
        <v>-0.1428571428571429</v>
      </c>
      <c r="AH24" s="72">
        <v>-0.23809523809523814</v>
      </c>
      <c r="AI24" s="72">
        <v>0.21875</v>
      </c>
      <c r="AJ24" s="85">
        <v>-0.5641025641025641</v>
      </c>
      <c r="AK24" s="24"/>
      <c r="AL24" s="72">
        <v>1.1764705882352939</v>
      </c>
      <c r="AM24" s="72">
        <v>2.4864864864864864</v>
      </c>
      <c r="AN24" s="72">
        <v>-0.22480620155038755</v>
      </c>
      <c r="AO24" s="85" t="s">
        <v>43</v>
      </c>
      <c r="AP24" s="24"/>
      <c r="AQ24" s="85" t="s">
        <v>43</v>
      </c>
      <c r="AR24" s="72">
        <v>2.9411764705882248E-2</v>
      </c>
      <c r="AS24" s="72">
        <v>-9.52380952380949E-3</v>
      </c>
      <c r="AT24" s="72">
        <v>0.30769230769230771</v>
      </c>
      <c r="AU24" s="24"/>
      <c r="AV24" s="72">
        <v>-0.25735294117647056</v>
      </c>
      <c r="AW24" s="72">
        <v>9.9009900990099098E-3</v>
      </c>
      <c r="AX24" s="72">
        <v>-7.8431372549019662E-2</v>
      </c>
      <c r="AY24" s="72">
        <v>0.27659574468085113</v>
      </c>
      <c r="AZ24" s="24"/>
      <c r="BA24" s="72">
        <v>-9.9999999999999978E-2</v>
      </c>
      <c r="BB24" s="72">
        <v>1.8518518518518601E-2</v>
      </c>
      <c r="BC24" s="72">
        <v>-9.0909090909090384E-3</v>
      </c>
      <c r="BD24" s="72">
        <v>-9.1743119266054496E-3</v>
      </c>
      <c r="BE24" s="24"/>
    </row>
    <row r="25" spans="1:57">
      <c r="A25" s="71" t="s">
        <v>8</v>
      </c>
      <c r="B25" s="24"/>
      <c r="C25" s="73"/>
      <c r="D25" s="73"/>
      <c r="E25" s="73"/>
      <c r="F25" s="73"/>
      <c r="G25" s="24">
        <f>G23/B23-1</f>
        <v>-0.23076923076923073</v>
      </c>
      <c r="H25" s="73"/>
      <c r="I25" s="73"/>
      <c r="J25" s="73"/>
      <c r="K25" s="73"/>
      <c r="L25" s="24"/>
      <c r="M25" s="73"/>
      <c r="N25" s="73"/>
      <c r="O25" s="73"/>
      <c r="P25" s="73"/>
      <c r="Q25" s="92"/>
      <c r="R25" s="85"/>
      <c r="S25" s="73">
        <f>S23/N23-1</f>
        <v>0.77142857142857135</v>
      </c>
      <c r="T25" s="73">
        <f>T23/O23-1</f>
        <v>0.16216216216216206</v>
      </c>
      <c r="U25" s="85">
        <f>U23/P23-1</f>
        <v>1</v>
      </c>
      <c r="V25" s="92">
        <f>V23/Q23-1</f>
        <v>0.94495412844036708</v>
      </c>
      <c r="W25" s="85"/>
      <c r="X25" s="85">
        <f t="shared" ref="X25:AD25" si="11">X23/S23-1</f>
        <v>0.24193548387096775</v>
      </c>
      <c r="Y25" s="73">
        <f t="shared" si="11"/>
        <v>-0.36046511627906974</v>
      </c>
      <c r="Z25" s="85">
        <f t="shared" si="11"/>
        <v>0.43181818181818188</v>
      </c>
      <c r="AA25" s="92">
        <f t="shared" si="11"/>
        <v>-0.28773584905660377</v>
      </c>
      <c r="AB25" s="73">
        <f t="shared" si="11"/>
        <v>-1.5454545454545454</v>
      </c>
      <c r="AC25" s="73">
        <f t="shared" si="11"/>
        <v>-0.64935064935064934</v>
      </c>
      <c r="AD25" s="73">
        <f t="shared" si="11"/>
        <v>-0.18181818181818177</v>
      </c>
      <c r="AE25" s="85">
        <f t="shared" ref="AE25" si="12">AE23/Z23-1</f>
        <v>-0.22222222222222221</v>
      </c>
      <c r="AF25" s="92">
        <v>-3.9735099337748325E-2</v>
      </c>
      <c r="AG25" s="73">
        <v>0.75</v>
      </c>
      <c r="AH25" s="73">
        <v>0.18518518518518512</v>
      </c>
      <c r="AI25" s="73">
        <v>-0.1333333333333333</v>
      </c>
      <c r="AJ25" s="85">
        <v>-0.65306122448979598</v>
      </c>
      <c r="AK25" s="92">
        <v>-0.10344827586206895</v>
      </c>
      <c r="AL25" s="73">
        <v>-0.11904761904761907</v>
      </c>
      <c r="AM25" s="73">
        <v>3.03125</v>
      </c>
      <c r="AN25" s="73">
        <v>1.5641025641025643</v>
      </c>
      <c r="AO25" s="85" t="s">
        <v>43</v>
      </c>
      <c r="AP25" s="92">
        <v>1.023076923076923</v>
      </c>
      <c r="AQ25" s="73">
        <v>1.7567567567567566</v>
      </c>
      <c r="AR25" s="73">
        <v>-0.18604651162790697</v>
      </c>
      <c r="AS25" s="73">
        <v>4.0000000000000036E-2</v>
      </c>
      <c r="AT25" s="85" t="s">
        <v>43</v>
      </c>
      <c r="AU25" s="92">
        <v>0.69961977186311786</v>
      </c>
      <c r="AV25" s="73">
        <v>-9.8039215686274161E-3</v>
      </c>
      <c r="AW25" s="73">
        <v>-2.8571428571428581E-2</v>
      </c>
      <c r="AX25" s="73">
        <v>-9.6153846153846145E-2</v>
      </c>
      <c r="AY25" s="73">
        <v>-0.11764705882352944</v>
      </c>
      <c r="AZ25" s="92">
        <v>-6.7114093959731558E-2</v>
      </c>
      <c r="BA25" s="73">
        <v>6.9306930693069368E-2</v>
      </c>
      <c r="BB25" s="73">
        <v>7.8431372549019551E-2</v>
      </c>
      <c r="BC25" s="73">
        <v>0.15957446808510634</v>
      </c>
      <c r="BD25" s="73">
        <v>-9.9999999999999978E-2</v>
      </c>
      <c r="BE25" s="92">
        <v>4.3165467625899234E-2</v>
      </c>
    </row>
    <row r="26" spans="1:57" ht="26.4" hidden="1">
      <c r="A26" s="89" t="s">
        <v>153</v>
      </c>
      <c r="B26" s="124" t="s">
        <v>44</v>
      </c>
      <c r="C26" s="80" t="s">
        <v>52</v>
      </c>
      <c r="D26" s="80" t="s">
        <v>52</v>
      </c>
      <c r="E26" s="80" t="s">
        <v>52</v>
      </c>
      <c r="F26" s="80" t="s">
        <v>52</v>
      </c>
      <c r="G26" s="124" t="s">
        <v>44</v>
      </c>
      <c r="H26" s="120" t="s">
        <v>44</v>
      </c>
      <c r="I26" s="120" t="s">
        <v>44</v>
      </c>
      <c r="J26" s="120" t="s">
        <v>44</v>
      </c>
      <c r="K26" s="120" t="s">
        <v>44</v>
      </c>
      <c r="L26" s="124" t="s">
        <v>44</v>
      </c>
      <c r="M26" s="186">
        <v>-23</v>
      </c>
      <c r="N26" s="186">
        <v>-86</v>
      </c>
      <c r="O26" s="186">
        <v>-71</v>
      </c>
      <c r="P26" s="186">
        <f>Q26-O26-N26-M26</f>
        <v>-81</v>
      </c>
      <c r="Q26" s="178">
        <v>-261</v>
      </c>
      <c r="R26" s="186">
        <v>-65</v>
      </c>
      <c r="S26" s="186">
        <v>-72</v>
      </c>
      <c r="T26" s="186">
        <v>-66</v>
      </c>
      <c r="U26" s="186">
        <f>V26-T26-S26-R26</f>
        <v>-13</v>
      </c>
      <c r="V26" s="178">
        <v>-216</v>
      </c>
      <c r="W26" s="186">
        <v>-58</v>
      </c>
      <c r="X26" s="186">
        <v>-83</v>
      </c>
      <c r="Y26" s="186">
        <v>-92</v>
      </c>
      <c r="Z26" s="186">
        <f>AA26-Y26-X26-W26</f>
        <v>-12</v>
      </c>
      <c r="AA26" s="178">
        <v>-245</v>
      </c>
      <c r="AB26" s="186">
        <v>-40</v>
      </c>
      <c r="AC26" s="186">
        <v>-67</v>
      </c>
      <c r="AD26" s="186">
        <v>-88</v>
      </c>
      <c r="AE26" s="186">
        <f>AF26-AD26-AC26-AB26</f>
        <v>-57</v>
      </c>
      <c r="AF26" s="178">
        <v>-252</v>
      </c>
      <c r="AG26" s="186">
        <v>-19</v>
      </c>
      <c r="AH26" s="186">
        <v>-79</v>
      </c>
      <c r="AI26" s="186">
        <v>-34</v>
      </c>
      <c r="AJ26" s="186">
        <v>-38</v>
      </c>
      <c r="AK26" s="178">
        <v>-170</v>
      </c>
      <c r="AL26" s="70">
        <v>16</v>
      </c>
      <c r="AM26" s="70">
        <v>0</v>
      </c>
      <c r="AN26" s="186">
        <v>-1</v>
      </c>
      <c r="AO26" s="186">
        <v>-3</v>
      </c>
      <c r="AP26" s="65">
        <v>12</v>
      </c>
      <c r="AQ26" s="186">
        <v>-1</v>
      </c>
      <c r="AR26" s="186">
        <v>-1</v>
      </c>
      <c r="AS26" s="186">
        <v>-2</v>
      </c>
      <c r="AT26" s="186">
        <v>16</v>
      </c>
      <c r="AU26" s="65">
        <v>12</v>
      </c>
      <c r="AV26" s="186">
        <v>-1</v>
      </c>
      <c r="AW26" s="186">
        <v>-1</v>
      </c>
      <c r="AX26" s="186">
        <v>-1</v>
      </c>
      <c r="AY26" s="186">
        <v>15</v>
      </c>
      <c r="AZ26" s="65">
        <v>12</v>
      </c>
      <c r="BA26" s="186">
        <v>-1</v>
      </c>
      <c r="BB26" s="186">
        <v>-1</v>
      </c>
      <c r="BC26" s="186">
        <v>-1</v>
      </c>
      <c r="BD26" s="186">
        <v>15</v>
      </c>
      <c r="BE26" s="65">
        <v>12</v>
      </c>
    </row>
    <row r="27" spans="1:57" hidden="1">
      <c r="A27" s="71" t="s">
        <v>7</v>
      </c>
      <c r="B27" s="24"/>
      <c r="C27" s="73"/>
      <c r="D27" s="73"/>
      <c r="E27" s="73"/>
      <c r="F27" s="73"/>
      <c r="G27" s="24"/>
      <c r="H27" s="73"/>
      <c r="I27" s="73"/>
      <c r="J27" s="73"/>
      <c r="K27" s="73"/>
      <c r="L27" s="24"/>
      <c r="M27" s="73"/>
      <c r="N27" s="72">
        <f>N26/M26-1</f>
        <v>2.7391304347826089</v>
      </c>
      <c r="O27" s="72">
        <f>O26/N26-1</f>
        <v>-0.17441860465116277</v>
      </c>
      <c r="P27" s="72">
        <f>P26/O26-1</f>
        <v>0.14084507042253525</v>
      </c>
      <c r="Q27" s="24"/>
      <c r="R27" s="85">
        <f>R26/P26-1</f>
        <v>-0.19753086419753085</v>
      </c>
      <c r="S27" s="85">
        <f>S26/R26-1</f>
        <v>0.10769230769230775</v>
      </c>
      <c r="T27" s="72">
        <f>T26/S26-1</f>
        <v>-8.333333333333337E-2</v>
      </c>
      <c r="U27" s="85">
        <f>U26/T26-1</f>
        <v>-0.80303030303030298</v>
      </c>
      <c r="V27" s="178"/>
      <c r="W27" s="72">
        <f>W26/U26-1</f>
        <v>3.4615384615384617</v>
      </c>
      <c r="X27" s="72">
        <f>X26/W26-1</f>
        <v>0.43103448275862077</v>
      </c>
      <c r="Y27" s="72">
        <f>Y26/X26-1</f>
        <v>0.10843373493975905</v>
      </c>
      <c r="Z27" s="72">
        <f>Z26/Y26-1</f>
        <v>-0.86956521739130432</v>
      </c>
      <c r="AA27" s="24"/>
      <c r="AB27" s="72">
        <f>AB26/Z26-1</f>
        <v>2.3333333333333335</v>
      </c>
      <c r="AC27" s="72">
        <f>AC26/AB26-1</f>
        <v>0.67500000000000004</v>
      </c>
      <c r="AD27" s="72">
        <f>AD26/AC26-1</f>
        <v>0.31343283582089554</v>
      </c>
      <c r="AE27" s="72">
        <f>AE26/AD26-1</f>
        <v>-0.35227272727272729</v>
      </c>
      <c r="AF27" s="24"/>
      <c r="AG27" s="72">
        <v>-0.66666666666666674</v>
      </c>
      <c r="AH27" s="72">
        <v>3.1578947368421053</v>
      </c>
      <c r="AI27" s="72">
        <v>-0.56962025316455689</v>
      </c>
      <c r="AJ27" s="72">
        <v>0.11764705882352944</v>
      </c>
      <c r="AK27" s="24"/>
      <c r="AL27" s="85" t="s">
        <v>43</v>
      </c>
      <c r="AM27" s="72">
        <v>-1</v>
      </c>
      <c r="AN27" s="85" t="s">
        <v>43</v>
      </c>
      <c r="AO27" s="72">
        <v>2</v>
      </c>
      <c r="AP27" s="24"/>
      <c r="AQ27" s="72">
        <v>-0.66666666666666674</v>
      </c>
      <c r="AR27" s="72">
        <v>0</v>
      </c>
      <c r="AS27" s="72">
        <v>1</v>
      </c>
      <c r="AT27" s="72">
        <v>-9</v>
      </c>
      <c r="AU27" s="24"/>
      <c r="AV27" s="72">
        <v>-1.0625</v>
      </c>
      <c r="AW27" s="72">
        <v>-1.0833333333333333</v>
      </c>
      <c r="AX27" s="72">
        <v>0</v>
      </c>
      <c r="AY27" s="72">
        <v>-16</v>
      </c>
      <c r="AZ27" s="24"/>
      <c r="BA27" s="72">
        <v>-1.0666666666666667</v>
      </c>
      <c r="BB27" s="72">
        <v>-1.0833333333333333</v>
      </c>
      <c r="BC27" s="72">
        <v>0</v>
      </c>
      <c r="BD27" s="72">
        <v>-16</v>
      </c>
      <c r="BE27" s="24"/>
    </row>
    <row r="28" spans="1:57" hidden="1">
      <c r="A28" s="71" t="s">
        <v>8</v>
      </c>
      <c r="B28" s="24"/>
      <c r="C28" s="73"/>
      <c r="D28" s="73"/>
      <c r="E28" s="73"/>
      <c r="F28" s="73"/>
      <c r="G28" s="24"/>
      <c r="H28" s="73"/>
      <c r="I28" s="73"/>
      <c r="J28" s="73"/>
      <c r="K28" s="73"/>
      <c r="L28" s="24"/>
      <c r="M28" s="73"/>
      <c r="N28" s="73"/>
      <c r="O28" s="73"/>
      <c r="P28" s="73"/>
      <c r="Q28" s="92"/>
      <c r="R28" s="85"/>
      <c r="S28" s="73">
        <f t="shared" ref="S28:AD28" si="13">S26/N26-1</f>
        <v>-0.16279069767441856</v>
      </c>
      <c r="T28" s="73">
        <f t="shared" si="13"/>
        <v>-7.0422535211267623E-2</v>
      </c>
      <c r="U28" s="85">
        <f t="shared" si="13"/>
        <v>-0.83950617283950613</v>
      </c>
      <c r="V28" s="92">
        <f t="shared" si="13"/>
        <v>-0.17241379310344829</v>
      </c>
      <c r="W28" s="73">
        <f t="shared" si="13"/>
        <v>-0.10769230769230764</v>
      </c>
      <c r="X28" s="73">
        <f t="shared" si="13"/>
        <v>0.15277777777777768</v>
      </c>
      <c r="Y28" s="73">
        <f t="shared" si="13"/>
        <v>0.39393939393939403</v>
      </c>
      <c r="Z28" s="73">
        <f t="shared" si="13"/>
        <v>-7.6923076923076872E-2</v>
      </c>
      <c r="AA28" s="92">
        <f t="shared" si="13"/>
        <v>0.1342592592592593</v>
      </c>
      <c r="AB28" s="73">
        <f t="shared" si="13"/>
        <v>-0.31034482758620685</v>
      </c>
      <c r="AC28" s="73">
        <f t="shared" si="13"/>
        <v>-0.19277108433734935</v>
      </c>
      <c r="AD28" s="73">
        <f t="shared" si="13"/>
        <v>-4.3478260869565188E-2</v>
      </c>
      <c r="AE28" s="73">
        <f t="shared" ref="AE28" si="14">AE26/Z26-1</f>
        <v>3.75</v>
      </c>
      <c r="AF28" s="92">
        <v>2.857142857142847E-2</v>
      </c>
      <c r="AG28" s="73">
        <v>-0.52500000000000002</v>
      </c>
      <c r="AH28" s="73">
        <v>0.17910447761194037</v>
      </c>
      <c r="AI28" s="73">
        <v>-0.61363636363636365</v>
      </c>
      <c r="AJ28" s="73">
        <v>-0.33333333333333337</v>
      </c>
      <c r="AK28" s="92">
        <v>-0.32539682539682535</v>
      </c>
      <c r="AL28" s="85" t="s">
        <v>43</v>
      </c>
      <c r="AM28" s="73">
        <v>-1</v>
      </c>
      <c r="AN28" s="85" t="s">
        <v>43</v>
      </c>
      <c r="AO28" s="73">
        <v>-0.92105263157894735</v>
      </c>
      <c r="AP28" s="92">
        <v>-1.0705882352941176</v>
      </c>
      <c r="AQ28" s="85" t="s">
        <v>43</v>
      </c>
      <c r="AR28" s="85" t="s">
        <v>43</v>
      </c>
      <c r="AS28" s="73">
        <v>1</v>
      </c>
      <c r="AT28" s="73">
        <v>-6.333333333333333</v>
      </c>
      <c r="AU28" s="92">
        <v>0</v>
      </c>
      <c r="AV28" s="85" t="s">
        <v>43</v>
      </c>
      <c r="AW28" s="85" t="s">
        <v>43</v>
      </c>
      <c r="AX28" s="85" t="s">
        <v>43</v>
      </c>
      <c r="AY28" s="73">
        <v>-6.25E-2</v>
      </c>
      <c r="AZ28" s="92">
        <v>0</v>
      </c>
      <c r="BA28" s="85" t="s">
        <v>43</v>
      </c>
      <c r="BB28" s="85" t="s">
        <v>43</v>
      </c>
      <c r="BC28" s="85" t="s">
        <v>43</v>
      </c>
      <c r="BD28" s="73">
        <v>0</v>
      </c>
      <c r="BE28" s="92">
        <v>0</v>
      </c>
    </row>
    <row r="29" spans="1:57">
      <c r="A29" s="69" t="s">
        <v>202</v>
      </c>
      <c r="B29" s="65">
        <v>666</v>
      </c>
      <c r="C29" s="70">
        <v>180</v>
      </c>
      <c r="D29" s="70">
        <v>205</v>
      </c>
      <c r="E29" s="70">
        <v>207</v>
      </c>
      <c r="F29" s="70">
        <f>G29-E29-D29-C29</f>
        <v>128</v>
      </c>
      <c r="G29" s="65">
        <v>720</v>
      </c>
      <c r="H29" s="70">
        <v>221</v>
      </c>
      <c r="I29" s="70">
        <v>222</v>
      </c>
      <c r="J29" s="70">
        <v>259</v>
      </c>
      <c r="K29" s="70">
        <f>L29-J29-I29-H29</f>
        <v>105</v>
      </c>
      <c r="L29" s="65">
        <v>807</v>
      </c>
      <c r="M29" s="70">
        <v>231</v>
      </c>
      <c r="N29" s="70">
        <v>231</v>
      </c>
      <c r="O29" s="70">
        <v>246</v>
      </c>
      <c r="P29" s="70">
        <f>Q29-O29-N29-M29</f>
        <v>224</v>
      </c>
      <c r="Q29" s="65">
        <v>932</v>
      </c>
      <c r="R29" s="70">
        <v>174</v>
      </c>
      <c r="S29" s="70">
        <v>216</v>
      </c>
      <c r="T29" s="70">
        <v>243</v>
      </c>
      <c r="U29" s="70">
        <f>V29-T29-S29-R29</f>
        <v>122</v>
      </c>
      <c r="V29" s="65">
        <v>755</v>
      </c>
      <c r="W29" s="70">
        <v>245</v>
      </c>
      <c r="X29" s="70">
        <v>174</v>
      </c>
      <c r="Y29" s="70">
        <v>178</v>
      </c>
      <c r="Z29" s="70">
        <f>AA29-Y29-X29-W29</f>
        <v>181</v>
      </c>
      <c r="AA29" s="65">
        <v>778</v>
      </c>
      <c r="AB29" s="70">
        <v>200</v>
      </c>
      <c r="AC29" s="70">
        <v>177</v>
      </c>
      <c r="AD29" s="70">
        <v>139</v>
      </c>
      <c r="AE29" s="70">
        <f>AF29-AD29-AC29-AB29</f>
        <v>135</v>
      </c>
      <c r="AF29" s="65">
        <v>651</v>
      </c>
      <c r="AG29" s="70">
        <v>170</v>
      </c>
      <c r="AH29" s="70">
        <v>313</v>
      </c>
      <c r="AI29" s="70">
        <v>170</v>
      </c>
      <c r="AJ29" s="70">
        <v>162</v>
      </c>
      <c r="AK29" s="65">
        <v>815</v>
      </c>
      <c r="AL29" s="70">
        <v>152</v>
      </c>
      <c r="AM29" s="70">
        <v>183</v>
      </c>
      <c r="AN29" s="70">
        <v>144</v>
      </c>
      <c r="AO29" s="70">
        <v>119</v>
      </c>
      <c r="AP29" s="65">
        <v>598</v>
      </c>
      <c r="AQ29" s="70">
        <v>183</v>
      </c>
      <c r="AR29" s="70">
        <v>133</v>
      </c>
      <c r="AS29" s="70">
        <v>99</v>
      </c>
      <c r="AT29" s="70">
        <v>210</v>
      </c>
      <c r="AU29" s="65">
        <v>625</v>
      </c>
      <c r="AV29" s="70">
        <v>113</v>
      </c>
      <c r="AW29" s="70">
        <v>111</v>
      </c>
      <c r="AX29" s="70">
        <v>128</v>
      </c>
      <c r="AY29" s="70">
        <v>101</v>
      </c>
      <c r="AZ29" s="65">
        <v>453</v>
      </c>
      <c r="BA29" s="70">
        <v>93</v>
      </c>
      <c r="BB29" s="70">
        <v>65</v>
      </c>
      <c r="BC29" s="70">
        <v>85</v>
      </c>
      <c r="BD29" s="186">
        <v>-163</v>
      </c>
      <c r="BE29" s="65">
        <v>80</v>
      </c>
    </row>
    <row r="30" spans="1:57">
      <c r="A30" s="71" t="s">
        <v>7</v>
      </c>
      <c r="B30" s="24"/>
      <c r="C30" s="72"/>
      <c r="D30" s="72">
        <f>D29/C29-1</f>
        <v>0.13888888888888884</v>
      </c>
      <c r="E30" s="72">
        <f>E29/D29-1</f>
        <v>9.7560975609756184E-3</v>
      </c>
      <c r="F30" s="72">
        <f>F29/E29-1</f>
        <v>-0.38164251207729472</v>
      </c>
      <c r="G30" s="24"/>
      <c r="H30" s="72">
        <f>H29/F29-1</f>
        <v>0.7265625</v>
      </c>
      <c r="I30" s="72">
        <f>I29/H29-1</f>
        <v>4.5248868778280382E-3</v>
      </c>
      <c r="J30" s="72">
        <f>J29/I29-1</f>
        <v>0.16666666666666674</v>
      </c>
      <c r="K30" s="72">
        <f>K29/J29-1</f>
        <v>-0.59459459459459452</v>
      </c>
      <c r="L30" s="24"/>
      <c r="M30" s="72">
        <f>M29/K29-1</f>
        <v>1.2000000000000002</v>
      </c>
      <c r="N30" s="72">
        <f>N29/M29-1</f>
        <v>0</v>
      </c>
      <c r="O30" s="72">
        <f>O29/N29-1</f>
        <v>6.4935064935064846E-2</v>
      </c>
      <c r="P30" s="72">
        <f>P29/O29-1</f>
        <v>-8.9430894308943132E-2</v>
      </c>
      <c r="Q30" s="24"/>
      <c r="R30" s="72">
        <f>R29/P29-1</f>
        <v>-0.2232142857142857</v>
      </c>
      <c r="S30" s="72">
        <f>S29/R29-1</f>
        <v>0.24137931034482762</v>
      </c>
      <c r="T30" s="72">
        <f>T29/S29-1</f>
        <v>0.125</v>
      </c>
      <c r="U30" s="72">
        <f>U29/T29-1</f>
        <v>-0.49794238683127567</v>
      </c>
      <c r="V30" s="24"/>
      <c r="W30" s="72">
        <f>W29/U29-1</f>
        <v>1.0081967213114753</v>
      </c>
      <c r="X30" s="72">
        <f>X29/W29-1</f>
        <v>-0.28979591836734697</v>
      </c>
      <c r="Y30" s="72">
        <f>Y29/X29-1</f>
        <v>2.2988505747126409E-2</v>
      </c>
      <c r="Z30" s="72">
        <f>Z29/Y29-1</f>
        <v>1.6853932584269593E-2</v>
      </c>
      <c r="AA30" s="24">
        <v>91</v>
      </c>
      <c r="AB30" s="72">
        <f>AB29/Z29-1</f>
        <v>0.1049723756906078</v>
      </c>
      <c r="AC30" s="72">
        <f>AC29/AB29-1</f>
        <v>-0.11499999999999999</v>
      </c>
      <c r="AD30" s="72">
        <f>AD29/AC29-1</f>
        <v>-0.21468926553672318</v>
      </c>
      <c r="AE30" s="72">
        <f>AE29/AD29-1</f>
        <v>-2.877697841726623E-2</v>
      </c>
      <c r="AF30" s="24"/>
      <c r="AG30" s="72">
        <v>0.2592592592592593</v>
      </c>
      <c r="AH30" s="72">
        <v>0.84117647058823519</v>
      </c>
      <c r="AI30" s="72">
        <v>-0.45686900958466459</v>
      </c>
      <c r="AJ30" s="72">
        <v>-4.705882352941182E-2</v>
      </c>
      <c r="AK30" s="24"/>
      <c r="AL30" s="72">
        <v>-6.1728395061728447E-2</v>
      </c>
      <c r="AM30" s="72">
        <v>0.20394736842105265</v>
      </c>
      <c r="AN30" s="72">
        <v>-0.21311475409836067</v>
      </c>
      <c r="AO30" s="72">
        <v>-0.17361111111111116</v>
      </c>
      <c r="AP30" s="24"/>
      <c r="AQ30" s="72">
        <v>0.53781512605042026</v>
      </c>
      <c r="AR30" s="72">
        <v>-0.27322404371584696</v>
      </c>
      <c r="AS30" s="72">
        <v>-0.25563909774436089</v>
      </c>
      <c r="AT30" s="72">
        <v>1.1212121212121211</v>
      </c>
      <c r="AU30" s="24"/>
      <c r="AV30" s="72">
        <v>-0.46190476190476193</v>
      </c>
      <c r="AW30" s="72">
        <v>-1.7699115044247815E-2</v>
      </c>
      <c r="AX30" s="72">
        <v>0.15315315315315314</v>
      </c>
      <c r="AY30" s="72">
        <v>-0.2109375</v>
      </c>
      <c r="AZ30" s="24"/>
      <c r="BA30" s="72">
        <v>-7.9207920792079167E-2</v>
      </c>
      <c r="BB30" s="72">
        <v>-0.30107526881720426</v>
      </c>
      <c r="BC30" s="72">
        <v>0.30769230769230771</v>
      </c>
      <c r="BD30" s="85" t="s">
        <v>43</v>
      </c>
      <c r="BE30" s="24"/>
    </row>
    <row r="31" spans="1:57">
      <c r="A31" s="71" t="s">
        <v>8</v>
      </c>
      <c r="B31" s="24"/>
      <c r="C31" s="73"/>
      <c r="D31" s="73"/>
      <c r="E31" s="73"/>
      <c r="F31" s="73"/>
      <c r="G31" s="24">
        <f t="shared" ref="G31" si="15">G29/B29-1</f>
        <v>8.1081081081081141E-2</v>
      </c>
      <c r="H31" s="73">
        <f t="shared" ref="H31" si="16">H29/C29-1</f>
        <v>0.22777777777777786</v>
      </c>
      <c r="I31" s="73">
        <f t="shared" ref="I31" si="17">I29/D29-1</f>
        <v>8.2926829268292757E-2</v>
      </c>
      <c r="J31" s="73">
        <f t="shared" ref="J31" si="18">J29/E29-1</f>
        <v>0.25120772946859904</v>
      </c>
      <c r="K31" s="73">
        <f t="shared" ref="K31" si="19">K29/F29-1</f>
        <v>-0.1796875</v>
      </c>
      <c r="L31" s="24">
        <f t="shared" ref="L31" si="20">L29/G29-1</f>
        <v>0.12083333333333335</v>
      </c>
      <c r="M31" s="73">
        <f t="shared" ref="M31" si="21">M29/H29-1</f>
        <v>4.5248868778280604E-2</v>
      </c>
      <c r="N31" s="73">
        <f t="shared" ref="N31" si="22">N29/I29-1</f>
        <v>4.0540540540540571E-2</v>
      </c>
      <c r="O31" s="73">
        <f t="shared" ref="O31" si="23">O29/J29-1</f>
        <v>-5.0193050193050204E-2</v>
      </c>
      <c r="P31" s="73">
        <f t="shared" ref="P31" si="24">P29/K29-1</f>
        <v>1.1333333333333333</v>
      </c>
      <c r="Q31" s="24">
        <f t="shared" ref="Q31" si="25">Q29/L29-1</f>
        <v>0.15489467162329618</v>
      </c>
      <c r="R31" s="73">
        <f t="shared" ref="R31" si="26">R29/M29-1</f>
        <v>-0.24675324675324672</v>
      </c>
      <c r="S31" s="73">
        <f t="shared" ref="S31" si="27">S29/N29-1</f>
        <v>-6.4935064935064957E-2</v>
      </c>
      <c r="T31" s="73">
        <f t="shared" ref="T31" si="28">T29/O29-1</f>
        <v>-1.2195121951219523E-2</v>
      </c>
      <c r="U31" s="73">
        <f t="shared" ref="U31" si="29">U29/P29-1</f>
        <v>-0.4553571428571429</v>
      </c>
      <c r="V31" s="24">
        <f t="shared" ref="V31" si="30">V29/Q29-1</f>
        <v>-0.18991416309012876</v>
      </c>
      <c r="W31" s="73">
        <f t="shared" ref="W31" si="31">W29/R29-1</f>
        <v>0.40804597701149414</v>
      </c>
      <c r="X31" s="73">
        <f t="shared" ref="X31" si="32">X29/S29-1</f>
        <v>-0.19444444444444442</v>
      </c>
      <c r="Y31" s="73">
        <f t="shared" ref="Y31" si="33">Y29/T29-1</f>
        <v>-0.26748971193415638</v>
      </c>
      <c r="Z31" s="73">
        <f t="shared" ref="Z31" si="34">Z29/U29-1</f>
        <v>0.48360655737704916</v>
      </c>
      <c r="AA31" s="24">
        <f t="shared" ref="AA31" si="35">AA29/V29-1</f>
        <v>3.0463576158940464E-2</v>
      </c>
      <c r="AB31" s="73">
        <f t="shared" ref="AB31" si="36">AB29/W29-1</f>
        <v>-0.18367346938775508</v>
      </c>
      <c r="AC31" s="73">
        <f t="shared" ref="AC31" si="37">AC29/X29-1</f>
        <v>1.7241379310344751E-2</v>
      </c>
      <c r="AD31" s="73">
        <f t="shared" ref="AD31" si="38">AD29/Y29-1</f>
        <v>-0.2191011235955056</v>
      </c>
      <c r="AE31" s="73">
        <f t="shared" ref="AE31" si="39">AE29/Z29-1</f>
        <v>-0.2541436464088398</v>
      </c>
      <c r="AF31" s="24">
        <v>-0.16323907455012854</v>
      </c>
      <c r="AG31" s="73">
        <v>-0.15000000000000002</v>
      </c>
      <c r="AH31" s="73">
        <v>0.76836158192090398</v>
      </c>
      <c r="AI31" s="73">
        <v>0.2230215827338129</v>
      </c>
      <c r="AJ31" s="73">
        <v>0.19999999999999996</v>
      </c>
      <c r="AK31" s="24">
        <v>0.25192012288786492</v>
      </c>
      <c r="AL31" s="73">
        <v>-0.10588235294117643</v>
      </c>
      <c r="AM31" s="73">
        <v>-0.4153354632587859</v>
      </c>
      <c r="AN31" s="73">
        <v>-0.15294117647058825</v>
      </c>
      <c r="AO31" s="73">
        <v>-0.26543209876543206</v>
      </c>
      <c r="AP31" s="24">
        <v>-0.26625766871165646</v>
      </c>
      <c r="AQ31" s="73">
        <v>0.20394736842105265</v>
      </c>
      <c r="AR31" s="73">
        <v>-0.27322404371584696</v>
      </c>
      <c r="AS31" s="73">
        <v>-0.3125</v>
      </c>
      <c r="AT31" s="73">
        <v>0.76470588235294112</v>
      </c>
      <c r="AU31" s="24">
        <v>4.5150501672240884E-2</v>
      </c>
      <c r="AV31" s="73">
        <v>-0.38251366120218577</v>
      </c>
      <c r="AW31" s="73">
        <v>-0.16541353383458646</v>
      </c>
      <c r="AX31" s="73">
        <v>0.29292929292929304</v>
      </c>
      <c r="AY31" s="73">
        <v>-0.51904761904761898</v>
      </c>
      <c r="AZ31" s="24">
        <v>-0.2752</v>
      </c>
      <c r="BA31" s="73">
        <v>-0.17699115044247793</v>
      </c>
      <c r="BB31" s="73">
        <v>-0.4144144144144144</v>
      </c>
      <c r="BC31" s="73">
        <v>-0.3359375</v>
      </c>
      <c r="BD31" s="85" t="s">
        <v>43</v>
      </c>
      <c r="BE31" s="24">
        <v>-0.82339955849889623</v>
      </c>
    </row>
    <row r="32" spans="1:57" s="36" customFormat="1">
      <c r="A32" s="69" t="s">
        <v>271</v>
      </c>
      <c r="B32" s="65">
        <v>1330</v>
      </c>
      <c r="C32" s="70">
        <v>411</v>
      </c>
      <c r="D32" s="70">
        <v>456</v>
      </c>
      <c r="E32" s="70">
        <v>462</v>
      </c>
      <c r="F32" s="70">
        <v>298</v>
      </c>
      <c r="G32" s="65">
        <v>1627</v>
      </c>
      <c r="H32" s="70">
        <v>608</v>
      </c>
      <c r="I32" s="70">
        <v>541</v>
      </c>
      <c r="J32" s="70">
        <v>2088</v>
      </c>
      <c r="K32" s="70">
        <f>L32-J32-I32-H32</f>
        <v>366</v>
      </c>
      <c r="L32" s="65">
        <v>3603</v>
      </c>
      <c r="M32" s="70">
        <v>642</v>
      </c>
      <c r="N32" s="70">
        <v>638</v>
      </c>
      <c r="O32" s="70">
        <v>588</v>
      </c>
      <c r="P32" s="70">
        <f>Q32-O32-N32-M32</f>
        <v>575</v>
      </c>
      <c r="Q32" s="65">
        <v>2443</v>
      </c>
      <c r="R32" s="70">
        <v>407</v>
      </c>
      <c r="S32" s="70">
        <v>585</v>
      </c>
      <c r="T32" s="70">
        <v>550</v>
      </c>
      <c r="U32" s="70">
        <f>V32-T32-S32-R32</f>
        <v>532</v>
      </c>
      <c r="V32" s="65">
        <v>2074</v>
      </c>
      <c r="W32" s="70">
        <v>582</v>
      </c>
      <c r="X32" s="70">
        <v>415</v>
      </c>
      <c r="Y32" s="70">
        <v>342</v>
      </c>
      <c r="Z32" s="70">
        <f>AA32-Y32-X32-W32</f>
        <v>522</v>
      </c>
      <c r="AA32" s="65">
        <v>1861</v>
      </c>
      <c r="AB32" s="70">
        <v>497</v>
      </c>
      <c r="AC32" s="70">
        <v>473</v>
      </c>
      <c r="AD32" s="70">
        <v>449</v>
      </c>
      <c r="AE32" s="70">
        <f>AF32-AD32-AC32-AB32</f>
        <v>352</v>
      </c>
      <c r="AF32" s="65">
        <v>1771</v>
      </c>
      <c r="AG32" s="70">
        <v>457</v>
      </c>
      <c r="AH32" s="70">
        <v>810</v>
      </c>
      <c r="AI32" s="70">
        <v>428</v>
      </c>
      <c r="AJ32" s="70">
        <v>416</v>
      </c>
      <c r="AK32" s="65">
        <v>2111</v>
      </c>
      <c r="AL32" s="70">
        <v>463</v>
      </c>
      <c r="AM32" s="70">
        <v>482</v>
      </c>
      <c r="AN32" s="70">
        <v>407</v>
      </c>
      <c r="AO32" s="70">
        <v>369</v>
      </c>
      <c r="AP32" s="65">
        <v>1721</v>
      </c>
      <c r="AQ32" s="70">
        <v>288</v>
      </c>
      <c r="AR32" s="70">
        <v>377</v>
      </c>
      <c r="AS32" s="70">
        <v>394</v>
      </c>
      <c r="AT32" s="70">
        <v>185</v>
      </c>
      <c r="AU32" s="65">
        <v>1244</v>
      </c>
      <c r="AV32" s="70">
        <v>350</v>
      </c>
      <c r="AW32" s="70">
        <v>358</v>
      </c>
      <c r="AX32" s="70">
        <v>322</v>
      </c>
      <c r="AY32" s="70">
        <v>205</v>
      </c>
      <c r="AZ32" s="65">
        <v>1235</v>
      </c>
      <c r="BA32" s="70">
        <v>260</v>
      </c>
      <c r="BB32" s="70">
        <v>195</v>
      </c>
      <c r="BC32" s="70">
        <v>234</v>
      </c>
      <c r="BD32" s="186">
        <v>-1755</v>
      </c>
      <c r="BE32" s="178">
        <v>-1066</v>
      </c>
    </row>
    <row r="33" spans="1:57">
      <c r="A33" s="71" t="s">
        <v>7</v>
      </c>
      <c r="B33" s="24"/>
      <c r="C33" s="72"/>
      <c r="D33" s="72">
        <f>D32/C32-1</f>
        <v>0.10948905109489049</v>
      </c>
      <c r="E33" s="72">
        <f>E32/D32-1</f>
        <v>1.3157894736842035E-2</v>
      </c>
      <c r="F33" s="72">
        <f>F32/E32-1</f>
        <v>-0.35497835497835495</v>
      </c>
      <c r="G33" s="24"/>
      <c r="H33" s="72">
        <f>H32/F32-1</f>
        <v>1.0402684563758391</v>
      </c>
      <c r="I33" s="72">
        <f>I32/H32-1</f>
        <v>-0.11019736842105265</v>
      </c>
      <c r="J33" s="72">
        <f>J32/I32-1</f>
        <v>2.8595194085027726</v>
      </c>
      <c r="K33" s="72">
        <f>K32/J32-1</f>
        <v>-0.82471264367816088</v>
      </c>
      <c r="L33" s="24"/>
      <c r="M33" s="72">
        <f>M32/K32-1</f>
        <v>0.75409836065573765</v>
      </c>
      <c r="N33" s="72">
        <f>N32/M32-1</f>
        <v>-6.230529595015577E-3</v>
      </c>
      <c r="O33" s="72">
        <f>O32/N32-1</f>
        <v>-7.8369905956112818E-2</v>
      </c>
      <c r="P33" s="72">
        <f>P32/O32-1</f>
        <v>-2.2108843537414935E-2</v>
      </c>
      <c r="Q33" s="24"/>
      <c r="R33" s="72">
        <f>R32/P32-1</f>
        <v>-0.29217391304347828</v>
      </c>
      <c r="S33" s="72">
        <f>S32/R32-1</f>
        <v>0.4373464373464373</v>
      </c>
      <c r="T33" s="72">
        <f>T32/S32-1</f>
        <v>-5.9829059829059839E-2</v>
      </c>
      <c r="U33" s="72">
        <f>U32/T32-1</f>
        <v>-3.2727272727272716E-2</v>
      </c>
      <c r="V33" s="24"/>
      <c r="W33" s="72">
        <f>W32/U32-1</f>
        <v>9.3984962406014949E-2</v>
      </c>
      <c r="X33" s="72">
        <f>X32/W32-1</f>
        <v>-0.28694158075601373</v>
      </c>
      <c r="Y33" s="72">
        <f>Y32/X32-1</f>
        <v>-0.17590361445783131</v>
      </c>
      <c r="Z33" s="72">
        <f>Z32/Y32-1</f>
        <v>0.52631578947368429</v>
      </c>
      <c r="AA33" s="24"/>
      <c r="AB33" s="72">
        <f>AB32/Z32-1</f>
        <v>-4.789272030651337E-2</v>
      </c>
      <c r="AC33" s="72">
        <f>AC32/AB32-1</f>
        <v>-4.8289738430583484E-2</v>
      </c>
      <c r="AD33" s="72">
        <f>AD32/AC32-1</f>
        <v>-5.0739957716701922E-2</v>
      </c>
      <c r="AE33" s="72">
        <f>AE32/AD32-1</f>
        <v>-0.21603563474387533</v>
      </c>
      <c r="AF33" s="24"/>
      <c r="AG33" s="72">
        <v>0.29829545454545459</v>
      </c>
      <c r="AH33" s="72">
        <v>0.77242888402625831</v>
      </c>
      <c r="AI33" s="72">
        <v>-0.47160493827160499</v>
      </c>
      <c r="AJ33" s="72">
        <v>-2.8037383177570097E-2</v>
      </c>
      <c r="AK33" s="24"/>
      <c r="AL33" s="72">
        <v>0.11298076923076916</v>
      </c>
      <c r="AM33" s="72">
        <v>4.1036717062634898E-2</v>
      </c>
      <c r="AN33" s="72">
        <v>-0.15560165975103735</v>
      </c>
      <c r="AO33" s="72">
        <v>-9.3366093366093361E-2</v>
      </c>
      <c r="AP33" s="24"/>
      <c r="AQ33" s="72">
        <v>-0.21951219512195119</v>
      </c>
      <c r="AR33" s="72">
        <v>0.30902777777777768</v>
      </c>
      <c r="AS33" s="72">
        <v>4.5092838196286511E-2</v>
      </c>
      <c r="AT33" s="72">
        <v>-0.53045685279187815</v>
      </c>
      <c r="AU33" s="24"/>
      <c r="AV33" s="72">
        <v>0.89189189189189189</v>
      </c>
      <c r="AW33" s="72">
        <v>2.2857142857142909E-2</v>
      </c>
      <c r="AX33" s="72">
        <v>-0.1005586592178771</v>
      </c>
      <c r="AY33" s="72">
        <v>-0.36335403726708071</v>
      </c>
      <c r="AZ33" s="24"/>
      <c r="BA33" s="72">
        <v>0.26829268292682928</v>
      </c>
      <c r="BB33" s="72">
        <v>-0.25</v>
      </c>
      <c r="BC33" s="72">
        <v>0.19999999999999996</v>
      </c>
      <c r="BD33" s="85" t="s">
        <v>43</v>
      </c>
      <c r="BE33" s="24"/>
    </row>
    <row r="34" spans="1:57">
      <c r="A34" s="71" t="s">
        <v>8</v>
      </c>
      <c r="B34" s="24"/>
      <c r="C34" s="73"/>
      <c r="D34" s="73"/>
      <c r="E34" s="73"/>
      <c r="F34" s="73"/>
      <c r="G34" s="24">
        <f t="shared" ref="G34:N34" si="40">G32/B32-1</f>
        <v>0.22330827067669179</v>
      </c>
      <c r="H34" s="73">
        <f t="shared" si="40"/>
        <v>0.47931873479318732</v>
      </c>
      <c r="I34" s="73">
        <f t="shared" si="40"/>
        <v>0.18640350877192979</v>
      </c>
      <c r="J34" s="73">
        <f t="shared" si="40"/>
        <v>3.5194805194805197</v>
      </c>
      <c r="K34" s="73">
        <f t="shared" si="40"/>
        <v>0.22818791946308714</v>
      </c>
      <c r="L34" s="24">
        <f t="shared" si="40"/>
        <v>1.2145052243392747</v>
      </c>
      <c r="M34" s="73">
        <f t="shared" si="40"/>
        <v>5.5921052631578982E-2</v>
      </c>
      <c r="N34" s="73">
        <f t="shared" si="40"/>
        <v>0.17929759704251391</v>
      </c>
      <c r="O34" s="73">
        <f t="shared" ref="O34:Y34" si="41">O32/J32-1</f>
        <v>-0.71839080459770122</v>
      </c>
      <c r="P34" s="73">
        <f t="shared" si="41"/>
        <v>0.5710382513661203</v>
      </c>
      <c r="Q34" s="24">
        <f t="shared" si="41"/>
        <v>-0.32195392728281991</v>
      </c>
      <c r="R34" s="73">
        <f t="shared" si="41"/>
        <v>-0.36604361370716509</v>
      </c>
      <c r="S34" s="73">
        <f t="shared" si="41"/>
        <v>-8.3072100313479669E-2</v>
      </c>
      <c r="T34" s="73">
        <f t="shared" si="41"/>
        <v>-6.4625850340136015E-2</v>
      </c>
      <c r="U34" s="73">
        <f t="shared" si="41"/>
        <v>-7.478260869565212E-2</v>
      </c>
      <c r="V34" s="24">
        <f t="shared" si="41"/>
        <v>-0.15104379860826855</v>
      </c>
      <c r="W34" s="73">
        <f t="shared" si="41"/>
        <v>0.42997542997542992</v>
      </c>
      <c r="X34" s="73">
        <f t="shared" si="41"/>
        <v>-0.29059829059829057</v>
      </c>
      <c r="Y34" s="73">
        <f t="shared" si="41"/>
        <v>-0.37818181818181817</v>
      </c>
      <c r="Z34" s="73">
        <f t="shared" ref="Z34:AE34" si="42">Z32/U32-1</f>
        <v>-1.8796992481203034E-2</v>
      </c>
      <c r="AA34" s="24">
        <f t="shared" si="42"/>
        <v>-0.10270009643201539</v>
      </c>
      <c r="AB34" s="73">
        <f t="shared" si="42"/>
        <v>-0.14604810996563578</v>
      </c>
      <c r="AC34" s="73">
        <f t="shared" si="42"/>
        <v>0.13975903614457841</v>
      </c>
      <c r="AD34" s="73">
        <f t="shared" si="42"/>
        <v>0.3128654970760234</v>
      </c>
      <c r="AE34" s="73">
        <f t="shared" si="42"/>
        <v>-0.32567049808429116</v>
      </c>
      <c r="AF34" s="24">
        <v>-4.8361096184846852E-2</v>
      </c>
      <c r="AG34" s="73">
        <v>-8.0482897384305807E-2</v>
      </c>
      <c r="AH34" s="73">
        <v>0.71247357293868929</v>
      </c>
      <c r="AI34" s="73">
        <v>-4.6770601336302842E-2</v>
      </c>
      <c r="AJ34" s="73">
        <v>0.18181818181818188</v>
      </c>
      <c r="AK34" s="24">
        <v>0.19198193111236583</v>
      </c>
      <c r="AL34" s="73">
        <v>1.3129102844638973E-2</v>
      </c>
      <c r="AM34" s="73">
        <v>-0.40493827160493823</v>
      </c>
      <c r="AN34" s="73">
        <v>-4.9065420560747697E-2</v>
      </c>
      <c r="AO34" s="73">
        <v>-0.11298076923076927</v>
      </c>
      <c r="AP34" s="24">
        <v>-0.18474656560871627</v>
      </c>
      <c r="AQ34" s="73">
        <v>-0.37796976241900648</v>
      </c>
      <c r="AR34" s="73">
        <v>-0.21784232365145229</v>
      </c>
      <c r="AS34" s="73">
        <v>-3.1941031941031928E-2</v>
      </c>
      <c r="AT34" s="73">
        <v>-0.49864498644986455</v>
      </c>
      <c r="AU34" s="24">
        <v>-0.27716443927948864</v>
      </c>
      <c r="AV34" s="73">
        <v>0.21527777777777768</v>
      </c>
      <c r="AW34" s="73">
        <v>-5.0397877984084904E-2</v>
      </c>
      <c r="AX34" s="73">
        <v>-0.18274111675126903</v>
      </c>
      <c r="AY34" s="73">
        <v>0.10810810810810811</v>
      </c>
      <c r="AZ34" s="24">
        <v>-7.2347266881028771E-3</v>
      </c>
      <c r="BA34" s="73">
        <v>-0.25714285714285712</v>
      </c>
      <c r="BB34" s="73">
        <v>-0.45530726256983245</v>
      </c>
      <c r="BC34" s="73">
        <v>-0.27329192546583847</v>
      </c>
      <c r="BD34" s="85" t="s">
        <v>43</v>
      </c>
      <c r="BE34" s="92" t="s">
        <v>43</v>
      </c>
    </row>
    <row r="35" spans="1:57" ht="24.6" customHeight="1">
      <c r="A35" s="231" t="s">
        <v>284</v>
      </c>
      <c r="B35" s="24"/>
      <c r="C35" s="73"/>
      <c r="D35" s="73"/>
      <c r="E35" s="73"/>
      <c r="F35" s="73"/>
      <c r="G35" s="24"/>
      <c r="H35" s="73"/>
      <c r="I35" s="73"/>
      <c r="J35" s="73"/>
      <c r="K35" s="73"/>
      <c r="L35" s="24"/>
      <c r="M35" s="73"/>
      <c r="N35" s="73"/>
      <c r="O35" s="73"/>
      <c r="P35" s="73"/>
      <c r="Q35" s="24"/>
      <c r="R35" s="73"/>
      <c r="S35" s="73"/>
      <c r="T35" s="73"/>
      <c r="U35" s="73"/>
      <c r="V35" s="24"/>
      <c r="W35" s="73"/>
      <c r="X35" s="73"/>
      <c r="Y35" s="73"/>
      <c r="Z35" s="73"/>
      <c r="AA35" s="24"/>
      <c r="AB35" s="73"/>
      <c r="AC35" s="73"/>
      <c r="AD35" s="73"/>
      <c r="AE35" s="73"/>
      <c r="AF35" s="65">
        <v>1759.75</v>
      </c>
      <c r="AG35" s="73"/>
      <c r="AH35" s="73"/>
      <c r="AI35" s="73"/>
      <c r="AJ35" s="73"/>
      <c r="AK35" s="65">
        <v>1671.5</v>
      </c>
      <c r="AL35" s="73"/>
      <c r="AM35" s="73"/>
      <c r="AN35" s="73"/>
      <c r="AO35" s="73"/>
      <c r="AP35" s="65">
        <v>1649.75</v>
      </c>
      <c r="AQ35" s="224">
        <v>291.75</v>
      </c>
      <c r="AR35" s="224">
        <v>368</v>
      </c>
      <c r="AS35" s="224">
        <v>374.5</v>
      </c>
      <c r="AT35" s="224">
        <v>209.75</v>
      </c>
      <c r="AU35" s="65">
        <v>1244</v>
      </c>
      <c r="AV35" s="224">
        <v>346.96</v>
      </c>
      <c r="AW35" s="224">
        <v>357.24</v>
      </c>
      <c r="AX35" s="224">
        <v>304.52</v>
      </c>
      <c r="AY35" s="224">
        <v>298.83999999999997</v>
      </c>
      <c r="AZ35" s="65">
        <v>1307.56</v>
      </c>
      <c r="BA35" s="224">
        <v>277.70999999999998</v>
      </c>
      <c r="BB35" s="224">
        <v>259.68</v>
      </c>
      <c r="BC35" s="224">
        <v>246.32</v>
      </c>
      <c r="BD35" s="186">
        <v>199.47000000000014</v>
      </c>
      <c r="BE35" s="65">
        <v>983.18000000000006</v>
      </c>
    </row>
    <row r="36" spans="1:57" s="36" customFormat="1" ht="16.95" customHeight="1">
      <c r="A36" s="69" t="s">
        <v>208</v>
      </c>
      <c r="B36" s="65">
        <f>B12+B20</f>
        <v>3830</v>
      </c>
      <c r="C36" s="77">
        <f>C12+C20</f>
        <v>1009</v>
      </c>
      <c r="D36" s="77">
        <f>D12+D20</f>
        <v>1133</v>
      </c>
      <c r="E36" s="77">
        <f>E12+E20</f>
        <v>1140</v>
      </c>
      <c r="F36" s="70">
        <f>G36-E36-D36-C36</f>
        <v>816</v>
      </c>
      <c r="G36" s="65">
        <f>G12+G20</f>
        <v>4098</v>
      </c>
      <c r="H36" s="77">
        <f>H12+H20</f>
        <v>1170</v>
      </c>
      <c r="I36" s="77">
        <f>I12+I20</f>
        <v>1195</v>
      </c>
      <c r="J36" s="77">
        <f>J12+J20</f>
        <v>1236</v>
      </c>
      <c r="K36" s="70">
        <f>L36-J36-I36-H36</f>
        <v>856</v>
      </c>
      <c r="L36" s="65">
        <f>L12+L20</f>
        <v>4457</v>
      </c>
      <c r="M36" s="77">
        <f>M12+M20</f>
        <v>1217</v>
      </c>
      <c r="N36" s="77">
        <f>N12+N20</f>
        <v>1338</v>
      </c>
      <c r="O36" s="77">
        <f>O12+O20</f>
        <v>1329</v>
      </c>
      <c r="P36" s="70">
        <f>Q36-O36-N36-M36</f>
        <v>1269</v>
      </c>
      <c r="Q36" s="65">
        <f>Q12+Q20</f>
        <v>5153</v>
      </c>
      <c r="R36" s="77">
        <f>R12+R20</f>
        <v>1000</v>
      </c>
      <c r="S36" s="77">
        <f>S12+S20</f>
        <v>1283</v>
      </c>
      <c r="T36" s="77">
        <f>T12+T20</f>
        <v>1301</v>
      </c>
      <c r="U36" s="70">
        <f>V36-T36-S36-R36</f>
        <v>1066</v>
      </c>
      <c r="V36" s="65">
        <f>V12+V20</f>
        <v>4650</v>
      </c>
      <c r="W36" s="77">
        <f>W12+W20</f>
        <v>1208</v>
      </c>
      <c r="X36" s="77">
        <f>X12+X20</f>
        <v>1104</v>
      </c>
      <c r="Y36" s="77">
        <f>Y12+Y20</f>
        <v>1026</v>
      </c>
      <c r="Z36" s="70">
        <f>AA36-Y36-X36-W36</f>
        <v>1139</v>
      </c>
      <c r="AA36" s="65">
        <f>AA12+AA20</f>
        <v>4477</v>
      </c>
      <c r="AB36" s="77">
        <f>AB12+AB20</f>
        <v>1089</v>
      </c>
      <c r="AC36" s="77">
        <f>AC12+AC20</f>
        <v>1070</v>
      </c>
      <c r="AD36" s="77">
        <f>AD12+AD20</f>
        <v>1050</v>
      </c>
      <c r="AE36" s="70">
        <f>AF36-AD36-AC36-AB36</f>
        <v>921</v>
      </c>
      <c r="AF36" s="65">
        <v>4130</v>
      </c>
      <c r="AG36" s="77">
        <v>1002</v>
      </c>
      <c r="AH36" s="77">
        <v>1553</v>
      </c>
      <c r="AI36" s="77">
        <v>998</v>
      </c>
      <c r="AJ36" s="70">
        <v>954</v>
      </c>
      <c r="AK36" s="65">
        <v>4507</v>
      </c>
      <c r="AL36" s="77">
        <v>953</v>
      </c>
      <c r="AM36" s="77">
        <v>1245</v>
      </c>
      <c r="AN36" s="77">
        <v>1109</v>
      </c>
      <c r="AO36" s="70">
        <v>947</v>
      </c>
      <c r="AP36" s="65">
        <v>4254</v>
      </c>
      <c r="AQ36" s="77">
        <v>1023</v>
      </c>
      <c r="AR36" s="77">
        <v>1056</v>
      </c>
      <c r="AS36" s="77">
        <v>1041</v>
      </c>
      <c r="AT36" s="70">
        <v>940</v>
      </c>
      <c r="AU36" s="65">
        <v>4060</v>
      </c>
      <c r="AV36" s="77">
        <v>994</v>
      </c>
      <c r="AW36" s="77">
        <v>997</v>
      </c>
      <c r="AX36" s="77">
        <v>980</v>
      </c>
      <c r="AY36" s="70">
        <v>854</v>
      </c>
      <c r="AZ36" s="65">
        <v>3825</v>
      </c>
      <c r="BA36" s="77">
        <v>987</v>
      </c>
      <c r="BB36" s="77">
        <v>908</v>
      </c>
      <c r="BC36" s="77">
        <v>976</v>
      </c>
      <c r="BD36" s="186">
        <v>-1230</v>
      </c>
      <c r="BE36" s="65">
        <v>1641</v>
      </c>
    </row>
    <row r="37" spans="1:57">
      <c r="A37" s="71" t="s">
        <v>7</v>
      </c>
      <c r="B37" s="24"/>
      <c r="C37" s="72"/>
      <c r="D37" s="72">
        <f>D36/C36-1</f>
        <v>0.12289395441030715</v>
      </c>
      <c r="E37" s="72">
        <f>E36/D36-1</f>
        <v>6.1782877316858276E-3</v>
      </c>
      <c r="F37" s="72">
        <f>F36/E36-1</f>
        <v>-0.28421052631578947</v>
      </c>
      <c r="G37" s="24"/>
      <c r="H37" s="72">
        <f>H36/F36-1</f>
        <v>0.43382352941176472</v>
      </c>
      <c r="I37" s="72">
        <f>I36/H36-1</f>
        <v>2.1367521367521292E-2</v>
      </c>
      <c r="J37" s="72">
        <f>J36/I36-1</f>
        <v>3.4309623430962333E-2</v>
      </c>
      <c r="K37" s="72">
        <f>K36/J36-1</f>
        <v>-0.30744336569579289</v>
      </c>
      <c r="L37" s="24"/>
      <c r="M37" s="72">
        <f>M36/K36-1</f>
        <v>0.42172897196261672</v>
      </c>
      <c r="N37" s="72">
        <f>N36/M36-1</f>
        <v>9.9424815119145471E-2</v>
      </c>
      <c r="O37" s="72">
        <f>O36/N36-1</f>
        <v>-6.7264573991031584E-3</v>
      </c>
      <c r="P37" s="72">
        <f>P36/O36-1</f>
        <v>-4.5146726862302478E-2</v>
      </c>
      <c r="Q37" s="24"/>
      <c r="R37" s="72">
        <f>R36/P36-1</f>
        <v>-0.21197793538219067</v>
      </c>
      <c r="S37" s="72">
        <f>S36/R36-1</f>
        <v>0.28299999999999992</v>
      </c>
      <c r="T37" s="72">
        <f>T36/S36-1</f>
        <v>1.4029618082618933E-2</v>
      </c>
      <c r="U37" s="72">
        <f>U36/T36-1</f>
        <v>-0.18063028439661799</v>
      </c>
      <c r="V37" s="24"/>
      <c r="W37" s="72">
        <f>W36/U36-1</f>
        <v>0.13320825515947465</v>
      </c>
      <c r="X37" s="72">
        <f>X36/W36-1</f>
        <v>-8.6092715231788075E-2</v>
      </c>
      <c r="Y37" s="72">
        <f>Y36/X36-1</f>
        <v>-7.0652173913043459E-2</v>
      </c>
      <c r="Z37" s="72">
        <f>Z36/Y36-1</f>
        <v>0.11013645224171542</v>
      </c>
      <c r="AA37" s="24"/>
      <c r="AB37" s="72">
        <f>AB36/Z36-1</f>
        <v>-4.3898156277436318E-2</v>
      </c>
      <c r="AC37" s="72">
        <f>AC36/AB36-1</f>
        <v>-1.7447199265381075E-2</v>
      </c>
      <c r="AD37" s="72">
        <f>AD36/AC36-1</f>
        <v>-1.8691588785046731E-2</v>
      </c>
      <c r="AE37" s="72">
        <f>AE36/AD36-1</f>
        <v>-0.12285714285714289</v>
      </c>
      <c r="AF37" s="24"/>
      <c r="AG37" s="72">
        <v>8.7947882736156391E-2</v>
      </c>
      <c r="AH37" s="72">
        <v>0.54990019960079839</v>
      </c>
      <c r="AI37" s="72">
        <v>-0.35737282678686411</v>
      </c>
      <c r="AJ37" s="72">
        <v>-4.4088176352705455E-2</v>
      </c>
      <c r="AK37" s="24"/>
      <c r="AL37" s="72">
        <v>-1.0482180293500676E-3</v>
      </c>
      <c r="AM37" s="72">
        <v>0.3064008394543547</v>
      </c>
      <c r="AN37" s="72">
        <v>-0.10923694779116466</v>
      </c>
      <c r="AO37" s="72">
        <v>-0.14607754733994593</v>
      </c>
      <c r="AP37" s="24"/>
      <c r="AQ37" s="72">
        <v>8.0253431890179527E-2</v>
      </c>
      <c r="AR37" s="72">
        <v>3.2258064516129004E-2</v>
      </c>
      <c r="AS37" s="72">
        <v>-1.4204545454545414E-2</v>
      </c>
      <c r="AT37" s="72">
        <v>-9.7022094140249759E-2</v>
      </c>
      <c r="AU37" s="24"/>
      <c r="AV37" s="72">
        <v>5.7446808510638325E-2</v>
      </c>
      <c r="AW37" s="72">
        <v>3.0181086519114331E-3</v>
      </c>
      <c r="AX37" s="72">
        <v>-1.7051153460381108E-2</v>
      </c>
      <c r="AY37" s="72">
        <v>-0.12857142857142856</v>
      </c>
      <c r="AZ37" s="24"/>
      <c r="BA37" s="72">
        <v>0.15573770491803285</v>
      </c>
      <c r="BB37" s="72">
        <v>-8.0040526849037508E-2</v>
      </c>
      <c r="BC37" s="72">
        <v>7.4889867841409608E-2</v>
      </c>
      <c r="BD37" s="85" t="s">
        <v>43</v>
      </c>
      <c r="BE37" s="24"/>
    </row>
    <row r="38" spans="1:57">
      <c r="A38" s="71" t="s">
        <v>8</v>
      </c>
      <c r="B38" s="24"/>
      <c r="C38" s="73"/>
      <c r="D38" s="73"/>
      <c r="E38" s="73"/>
      <c r="F38" s="73"/>
      <c r="G38" s="24">
        <f t="shared" ref="G38:N38" si="43">G36/B36-1</f>
        <v>6.9973890339425582E-2</v>
      </c>
      <c r="H38" s="73">
        <f t="shared" si="43"/>
        <v>0.15956392467789882</v>
      </c>
      <c r="I38" s="73">
        <f t="shared" si="43"/>
        <v>5.4721977052074156E-2</v>
      </c>
      <c r="J38" s="73">
        <f t="shared" si="43"/>
        <v>8.4210526315789513E-2</v>
      </c>
      <c r="K38" s="73">
        <f t="shared" si="43"/>
        <v>4.9019607843137303E-2</v>
      </c>
      <c r="L38" s="24">
        <f t="shared" si="43"/>
        <v>8.7603709126403029E-2</v>
      </c>
      <c r="M38" s="73">
        <f t="shared" si="43"/>
        <v>4.017094017094025E-2</v>
      </c>
      <c r="N38" s="73">
        <f t="shared" si="43"/>
        <v>0.11966527196652721</v>
      </c>
      <c r="O38" s="73">
        <f t="shared" ref="O38:Y38" si="44">O36/J36-1</f>
        <v>7.5242718446602019E-2</v>
      </c>
      <c r="P38" s="73">
        <f t="shared" si="44"/>
        <v>0.48247663551401865</v>
      </c>
      <c r="Q38" s="24">
        <f t="shared" si="44"/>
        <v>0.15615885124523232</v>
      </c>
      <c r="R38" s="73">
        <f t="shared" si="44"/>
        <v>-0.17830731306491376</v>
      </c>
      <c r="S38" s="73">
        <f t="shared" si="44"/>
        <v>-4.1106128550074783E-2</v>
      </c>
      <c r="T38" s="73">
        <f t="shared" si="44"/>
        <v>-2.1068472535741178E-2</v>
      </c>
      <c r="U38" s="73">
        <f t="shared" si="44"/>
        <v>-0.1599684791174153</v>
      </c>
      <c r="V38" s="24">
        <f t="shared" si="44"/>
        <v>-9.7613040947021168E-2</v>
      </c>
      <c r="W38" s="73">
        <f t="shared" si="44"/>
        <v>0.20799999999999996</v>
      </c>
      <c r="X38" s="73">
        <f t="shared" si="44"/>
        <v>-0.13951675759937643</v>
      </c>
      <c r="Y38" s="73">
        <f t="shared" si="44"/>
        <v>-0.21137586471944658</v>
      </c>
      <c r="Z38" s="73">
        <f t="shared" ref="Z38:AE38" si="45">Z36/U36-1</f>
        <v>6.8480300187617305E-2</v>
      </c>
      <c r="AA38" s="24">
        <f t="shared" si="45"/>
        <v>-3.7204301075268842E-2</v>
      </c>
      <c r="AB38" s="73">
        <f t="shared" si="45"/>
        <v>-9.8509933774834413E-2</v>
      </c>
      <c r="AC38" s="73">
        <f t="shared" si="45"/>
        <v>-3.0797101449275388E-2</v>
      </c>
      <c r="AD38" s="73">
        <f t="shared" si="45"/>
        <v>2.3391812865497075E-2</v>
      </c>
      <c r="AE38" s="73">
        <f t="shared" si="45"/>
        <v>-0.19139596136962245</v>
      </c>
      <c r="AF38" s="24">
        <v>-7.7507259325441114E-2</v>
      </c>
      <c r="AG38" s="73">
        <v>-7.9889807162534465E-2</v>
      </c>
      <c r="AH38" s="73">
        <v>0.45140186915887859</v>
      </c>
      <c r="AI38" s="73">
        <v>-4.9523809523809526E-2</v>
      </c>
      <c r="AJ38" s="73">
        <v>3.5830618892508159E-2</v>
      </c>
      <c r="AK38" s="24">
        <v>9.1283292978208141E-2</v>
      </c>
      <c r="AL38" s="73">
        <v>-4.8902195608782395E-2</v>
      </c>
      <c r="AM38" s="73">
        <v>-0.1983258209916291</v>
      </c>
      <c r="AN38" s="73">
        <v>0.11122244488977961</v>
      </c>
      <c r="AO38" s="73">
        <v>-7.3375262054506951E-3</v>
      </c>
      <c r="AP38" s="24">
        <v>-5.6134901264699333E-2</v>
      </c>
      <c r="AQ38" s="73">
        <v>7.3452256033578189E-2</v>
      </c>
      <c r="AR38" s="73">
        <v>-0.15180722891566267</v>
      </c>
      <c r="AS38" s="73">
        <v>-6.131650135256983E-2</v>
      </c>
      <c r="AT38" s="73">
        <v>-7.3917634635691787E-3</v>
      </c>
      <c r="AU38" s="24">
        <v>-4.5604137282557633E-2</v>
      </c>
      <c r="AV38" s="73">
        <v>-2.8347996089931549E-2</v>
      </c>
      <c r="AW38" s="73">
        <v>-5.5871212121212155E-2</v>
      </c>
      <c r="AX38" s="73">
        <v>-5.8597502401536938E-2</v>
      </c>
      <c r="AY38" s="73">
        <v>-9.1489361702127625E-2</v>
      </c>
      <c r="AZ38" s="24">
        <v>-5.7881773399014791E-2</v>
      </c>
      <c r="BA38" s="73">
        <v>-7.0422535211267512E-3</v>
      </c>
      <c r="BB38" s="73">
        <v>-8.9267803410230662E-2</v>
      </c>
      <c r="BC38" s="73">
        <v>-4.0816326530612734E-3</v>
      </c>
      <c r="BD38" s="85" t="s">
        <v>43</v>
      </c>
      <c r="BE38" s="24">
        <v>-0.5709803921568628</v>
      </c>
    </row>
    <row r="39" spans="1:57" hidden="1">
      <c r="A39" s="69" t="s">
        <v>31</v>
      </c>
      <c r="B39" s="64">
        <v>0.51</v>
      </c>
      <c r="C39" s="74">
        <v>0.15</v>
      </c>
      <c r="D39" s="74">
        <v>0.17</v>
      </c>
      <c r="E39" s="74">
        <v>0.18</v>
      </c>
      <c r="F39" s="75">
        <f>G39-E39-D39-C39</f>
        <v>0.12000000000000002</v>
      </c>
      <c r="G39" s="64">
        <v>0.62</v>
      </c>
      <c r="H39" s="74">
        <v>0.23</v>
      </c>
      <c r="I39" s="74">
        <v>0.21</v>
      </c>
      <c r="J39" s="74">
        <v>0.79</v>
      </c>
      <c r="K39" s="75">
        <f>L39-J39-I39-H39</f>
        <v>0.13701858018376797</v>
      </c>
      <c r="L39" s="64">
        <f>3602772/2635496</f>
        <v>1.367018580183768</v>
      </c>
      <c r="M39" s="74">
        <f>641531016/2663427674</f>
        <v>0.24086669304465597</v>
      </c>
      <c r="N39" s="74">
        <v>0.24</v>
      </c>
      <c r="O39" s="75">
        <v>0.22</v>
      </c>
      <c r="P39" s="74">
        <v>0.21</v>
      </c>
      <c r="Q39" s="64">
        <v>0.91</v>
      </c>
      <c r="R39" s="74">
        <v>0.15</v>
      </c>
      <c r="S39" s="74">
        <v>0.22</v>
      </c>
      <c r="T39" s="75">
        <v>0.2</v>
      </c>
      <c r="U39" s="75">
        <f>V39-T39-S39-R39</f>
        <v>0.20000000000000009</v>
      </c>
      <c r="V39" s="64">
        <v>0.77</v>
      </c>
      <c r="W39" s="74">
        <v>0.21</v>
      </c>
      <c r="X39" s="74">
        <v>0.15</v>
      </c>
      <c r="Y39" s="74">
        <v>0.13</v>
      </c>
      <c r="Z39" s="75">
        <f>AA39-Y39-X39-W39</f>
        <v>0.19000000000000003</v>
      </c>
      <c r="AA39" s="64">
        <v>0.68</v>
      </c>
      <c r="AB39" s="74">
        <v>0.18</v>
      </c>
      <c r="AC39" s="74">
        <v>0.17</v>
      </c>
      <c r="AD39" s="74">
        <v>0.16</v>
      </c>
      <c r="AE39" s="75">
        <v>0.13</v>
      </c>
      <c r="AF39" s="64">
        <v>0.65</v>
      </c>
      <c r="AG39" s="74">
        <v>0.17</v>
      </c>
      <c r="AH39" s="74">
        <v>0.3</v>
      </c>
      <c r="AI39" s="74">
        <v>0.16</v>
      </c>
      <c r="AJ39" s="75">
        <v>0.15</v>
      </c>
      <c r="AK39" s="64">
        <v>0.77</v>
      </c>
      <c r="AL39" s="74">
        <v>0.17</v>
      </c>
      <c r="AM39" s="74">
        <v>0.18</v>
      </c>
      <c r="AN39" s="74">
        <v>0.15</v>
      </c>
      <c r="AO39" s="75">
        <v>0.12999999999999998</v>
      </c>
      <c r="AP39" s="64">
        <v>0.63</v>
      </c>
      <c r="AQ39" s="74">
        <v>0.1</v>
      </c>
      <c r="AR39" s="74">
        <v>0.14000000000000001</v>
      </c>
      <c r="AS39" s="74">
        <v>0.14000000000000001</v>
      </c>
      <c r="AT39" s="75">
        <v>6.9999999999999979E-2</v>
      </c>
      <c r="AU39" s="64">
        <v>0.45</v>
      </c>
      <c r="AV39" s="74">
        <v>0.13</v>
      </c>
      <c r="AW39" s="74">
        <v>0.13</v>
      </c>
      <c r="AX39" s="74">
        <v>0.12</v>
      </c>
      <c r="AY39" s="75">
        <v>-0.38</v>
      </c>
      <c r="AZ39" s="64"/>
      <c r="BA39" s="74">
        <v>0.13</v>
      </c>
      <c r="BB39" s="74">
        <v>0.13</v>
      </c>
      <c r="BC39" s="74">
        <v>0.12</v>
      </c>
      <c r="BD39" s="75">
        <v>-0.38</v>
      </c>
      <c r="BE39" s="64"/>
    </row>
    <row r="40" spans="1:57">
      <c r="A40" s="69" t="s">
        <v>272</v>
      </c>
      <c r="B40" s="64"/>
      <c r="C40" s="74"/>
      <c r="D40" s="74"/>
      <c r="E40" s="74"/>
      <c r="F40" s="75"/>
      <c r="G40" s="64"/>
      <c r="H40" s="74"/>
      <c r="I40" s="74"/>
      <c r="J40" s="74"/>
      <c r="K40" s="75"/>
      <c r="L40" s="64"/>
      <c r="M40" s="74"/>
      <c r="N40" s="74"/>
      <c r="O40" s="75"/>
      <c r="P40" s="74"/>
      <c r="Q40" s="64"/>
      <c r="R40" s="74"/>
      <c r="S40" s="74"/>
      <c r="T40" s="75"/>
      <c r="U40" s="75"/>
      <c r="V40" s="64"/>
      <c r="W40" s="74"/>
      <c r="X40" s="74"/>
      <c r="Y40" s="74"/>
      <c r="Z40" s="75"/>
      <c r="AA40" s="64"/>
      <c r="AB40" s="74"/>
      <c r="AC40" s="74"/>
      <c r="AD40" s="74"/>
      <c r="AE40" s="75"/>
      <c r="AF40" s="64"/>
      <c r="AG40" s="74"/>
      <c r="AH40" s="74"/>
      <c r="AI40" s="74"/>
      <c r="AJ40" s="75"/>
      <c r="AK40" s="64"/>
      <c r="AL40" s="74"/>
      <c r="AM40" s="74"/>
      <c r="AN40" s="74"/>
      <c r="AO40" s="75"/>
      <c r="AP40" s="64"/>
      <c r="AQ40" s="74"/>
      <c r="AR40" s="74"/>
      <c r="AS40" s="74"/>
      <c r="AT40" s="75"/>
      <c r="AU40" s="64"/>
      <c r="AV40" s="74"/>
      <c r="AW40" s="74"/>
      <c r="AX40" s="74"/>
      <c r="AY40" s="75"/>
      <c r="AZ40" s="64"/>
      <c r="BA40" s="77">
        <v>885</v>
      </c>
      <c r="BB40" s="77">
        <v>806</v>
      </c>
      <c r="BC40" s="77">
        <v>871</v>
      </c>
      <c r="BD40" s="186">
        <v>-1333</v>
      </c>
      <c r="BE40" s="65">
        <v>1229</v>
      </c>
    </row>
    <row r="41" spans="1:57" ht="9.6" customHeight="1">
      <c r="A41" s="69"/>
      <c r="B41" s="64"/>
      <c r="C41" s="74"/>
      <c r="D41" s="74"/>
      <c r="E41" s="74"/>
      <c r="F41" s="75"/>
      <c r="G41" s="64"/>
      <c r="H41" s="74"/>
      <c r="I41" s="74"/>
      <c r="J41" s="74"/>
      <c r="K41" s="75"/>
      <c r="L41" s="64"/>
      <c r="M41" s="74"/>
      <c r="N41" s="74"/>
      <c r="O41" s="75"/>
      <c r="P41" s="74"/>
      <c r="Q41" s="64"/>
      <c r="R41" s="74"/>
      <c r="S41" s="74"/>
      <c r="T41" s="75"/>
      <c r="U41" s="75"/>
      <c r="V41" s="64"/>
      <c r="W41" s="74"/>
      <c r="X41" s="74"/>
      <c r="Y41" s="74"/>
      <c r="Z41" s="75"/>
      <c r="AA41" s="64"/>
      <c r="AB41" s="74"/>
      <c r="AC41" s="74"/>
      <c r="AD41" s="74"/>
      <c r="AE41" s="75"/>
      <c r="AF41" s="64"/>
      <c r="AG41" s="74"/>
      <c r="AH41" s="74"/>
      <c r="AI41" s="74"/>
      <c r="AJ41" s="75"/>
      <c r="AK41" s="64"/>
      <c r="AL41" s="74"/>
      <c r="AM41" s="74"/>
      <c r="AN41" s="74"/>
      <c r="AO41" s="75"/>
      <c r="AP41" s="64"/>
      <c r="AQ41" s="74"/>
      <c r="AR41" s="74"/>
      <c r="AS41" s="74"/>
      <c r="AT41" s="75"/>
      <c r="AU41" s="64"/>
      <c r="AV41" s="74"/>
      <c r="AW41" s="74"/>
      <c r="AX41" s="74"/>
      <c r="AY41" s="75"/>
      <c r="AZ41" s="64"/>
      <c r="BA41" s="77"/>
      <c r="BB41" s="74"/>
      <c r="BC41" s="74"/>
      <c r="BD41" s="75"/>
      <c r="BE41" s="64"/>
    </row>
    <row r="42" spans="1:57" ht="26.4">
      <c r="A42" s="89" t="s">
        <v>283</v>
      </c>
      <c r="B42" s="65">
        <f>B36+B18</f>
        <v>3869</v>
      </c>
      <c r="C42" s="80" t="s">
        <v>52</v>
      </c>
      <c r="D42" s="80" t="s">
        <v>52</v>
      </c>
      <c r="E42" s="80" t="s">
        <v>52</v>
      </c>
      <c r="F42" s="80" t="s">
        <v>52</v>
      </c>
      <c r="G42" s="65">
        <f>G36+G18</f>
        <v>4194</v>
      </c>
      <c r="H42" s="80" t="s">
        <v>52</v>
      </c>
      <c r="I42" s="80" t="s">
        <v>52</v>
      </c>
      <c r="J42" s="80" t="s">
        <v>52</v>
      </c>
      <c r="K42" s="80" t="s">
        <v>52</v>
      </c>
      <c r="L42" s="65">
        <f>L36+L18</f>
        <v>4658</v>
      </c>
      <c r="M42" s="70">
        <f>M36+M18</f>
        <v>1192</v>
      </c>
      <c r="N42" s="70">
        <f>N36+N18</f>
        <v>1268</v>
      </c>
      <c r="O42" s="70">
        <f>O36+O18</f>
        <v>1270</v>
      </c>
      <c r="P42" s="70">
        <f>Q42-O42-N42-M42</f>
        <v>1207</v>
      </c>
      <c r="Q42" s="65">
        <f>Q36+Q18</f>
        <v>4937</v>
      </c>
      <c r="R42" s="70">
        <f>R36+R18</f>
        <v>1250</v>
      </c>
      <c r="S42" s="70">
        <f>S36+S18</f>
        <v>1221</v>
      </c>
      <c r="T42" s="70">
        <f>T36+T18</f>
        <v>1195</v>
      </c>
      <c r="U42" s="70">
        <f>V42-T42-S42-R42</f>
        <v>1123</v>
      </c>
      <c r="V42" s="65">
        <f>V36+V18</f>
        <v>4789</v>
      </c>
      <c r="W42" s="70">
        <f>W36+W18</f>
        <v>1185</v>
      </c>
      <c r="X42" s="70">
        <f>X36+X18</f>
        <v>1121</v>
      </c>
      <c r="Y42" s="70">
        <f>Y36+Y18</f>
        <v>1020</v>
      </c>
      <c r="Z42" s="70">
        <f>AA42-Y42-X42-W42</f>
        <v>1137</v>
      </c>
      <c r="AA42" s="65">
        <f>AA36+AA18</f>
        <v>4463</v>
      </c>
      <c r="AB42" s="70">
        <f>AB36+AB18</f>
        <v>1017</v>
      </c>
      <c r="AC42" s="70">
        <f>AC36+AC18</f>
        <v>1052</v>
      </c>
      <c r="AD42" s="70">
        <f>AD36+AD18</f>
        <v>1044</v>
      </c>
      <c r="AE42" s="70">
        <f>AF42-AD42-AC42-AB42</f>
        <v>1002</v>
      </c>
      <c r="AF42" s="65">
        <v>4115</v>
      </c>
      <c r="AG42" s="70">
        <v>994</v>
      </c>
      <c r="AH42" s="70">
        <v>985</v>
      </c>
      <c r="AI42" s="70">
        <v>973</v>
      </c>
      <c r="AJ42" s="70">
        <v>969</v>
      </c>
      <c r="AK42" s="65">
        <v>3921</v>
      </c>
      <c r="AL42" s="70">
        <v>936</v>
      </c>
      <c r="AM42" s="70">
        <v>1104</v>
      </c>
      <c r="AN42" s="70">
        <v>1096</v>
      </c>
      <c r="AO42" s="70">
        <v>1023</v>
      </c>
      <c r="AP42" s="65">
        <v>4159</v>
      </c>
      <c r="AQ42" s="70">
        <v>1028</v>
      </c>
      <c r="AR42" s="70">
        <v>1044</v>
      </c>
      <c r="AS42" s="70">
        <v>1015</v>
      </c>
      <c r="AT42" s="70">
        <v>973</v>
      </c>
      <c r="AU42" s="65">
        <v>4060</v>
      </c>
      <c r="AV42" s="70">
        <v>990</v>
      </c>
      <c r="AW42" s="70">
        <v>996</v>
      </c>
      <c r="AX42" s="70">
        <v>957</v>
      </c>
      <c r="AY42" s="70">
        <v>950</v>
      </c>
      <c r="AZ42" s="65">
        <v>3893</v>
      </c>
      <c r="BA42" s="70">
        <v>908</v>
      </c>
      <c r="BB42" s="70">
        <v>890</v>
      </c>
      <c r="BC42" s="70">
        <v>887</v>
      </c>
      <c r="BD42" s="186">
        <v>853</v>
      </c>
      <c r="BE42" s="65">
        <v>3538</v>
      </c>
    </row>
    <row r="43" spans="1:57">
      <c r="A43" s="71" t="s">
        <v>7</v>
      </c>
      <c r="B43" s="24"/>
      <c r="C43" s="72"/>
      <c r="D43" s="72"/>
      <c r="E43" s="72"/>
      <c r="F43" s="72"/>
      <c r="G43" s="24"/>
      <c r="H43" s="72"/>
      <c r="I43" s="72"/>
      <c r="J43" s="72"/>
      <c r="K43" s="72"/>
      <c r="L43" s="24"/>
      <c r="M43" s="72"/>
      <c r="N43" s="72">
        <f>N42/M42-1</f>
        <v>6.3758389261745041E-2</v>
      </c>
      <c r="O43" s="72">
        <f>O42/N42-1</f>
        <v>1.577287066246047E-3</v>
      </c>
      <c r="P43" s="72">
        <f>P42/O42-1</f>
        <v>-4.9606299212598404E-2</v>
      </c>
      <c r="Q43" s="24"/>
      <c r="R43" s="72">
        <f>R42/P42-1</f>
        <v>3.5625517812758911E-2</v>
      </c>
      <c r="S43" s="72">
        <f>S42/R42-1</f>
        <v>-2.3199999999999998E-2</v>
      </c>
      <c r="T43" s="72">
        <f>T42/S42-1</f>
        <v>-2.1294021294021248E-2</v>
      </c>
      <c r="U43" s="72">
        <f>U42/T42-1</f>
        <v>-6.025104602510456E-2</v>
      </c>
      <c r="V43" s="24"/>
      <c r="W43" s="72">
        <f>W42/U42-1</f>
        <v>5.5209260908281488E-2</v>
      </c>
      <c r="X43" s="72">
        <f>X42/W42-1</f>
        <v>-5.400843881856543E-2</v>
      </c>
      <c r="Y43" s="72">
        <f>Y42/X42-1</f>
        <v>-9.0098126672613743E-2</v>
      </c>
      <c r="Z43" s="72">
        <f>Z42/Y42-1</f>
        <v>0.11470588235294121</v>
      </c>
      <c r="AA43" s="24"/>
      <c r="AB43" s="72">
        <f>AB42/Z42-1</f>
        <v>-0.10554089709762537</v>
      </c>
      <c r="AC43" s="72">
        <f>AC42/AB42-1</f>
        <v>3.4414945919370776E-2</v>
      </c>
      <c r="AD43" s="72">
        <f>AD42/AC42-1</f>
        <v>-7.6045627376425395E-3</v>
      </c>
      <c r="AE43" s="72">
        <f>AE42/AD42-1</f>
        <v>-4.0229885057471271E-2</v>
      </c>
      <c r="AF43" s="24"/>
      <c r="AG43" s="72">
        <v>-7.9840319361277334E-3</v>
      </c>
      <c r="AH43" s="72">
        <v>-9.0543259557344102E-3</v>
      </c>
      <c r="AI43" s="72">
        <v>-1.2182741116751217E-2</v>
      </c>
      <c r="AJ43" s="72">
        <v>-4.1109969167523186E-3</v>
      </c>
      <c r="AK43" s="24"/>
      <c r="AL43" s="72">
        <v>-3.4055727554179516E-2</v>
      </c>
      <c r="AM43" s="72">
        <v>0.17948717948717952</v>
      </c>
      <c r="AN43" s="72">
        <v>-7.2463768115942351E-3</v>
      </c>
      <c r="AO43" s="72">
        <v>-6.6605839416058354E-2</v>
      </c>
      <c r="AP43" s="24"/>
      <c r="AQ43" s="72">
        <v>4.8875855327468187E-3</v>
      </c>
      <c r="AR43" s="72">
        <v>1.5564202334630295E-2</v>
      </c>
      <c r="AS43" s="72">
        <v>-2.777777777777779E-2</v>
      </c>
      <c r="AT43" s="72">
        <v>-4.1379310344827558E-2</v>
      </c>
      <c r="AU43" s="24"/>
      <c r="AV43" s="72">
        <v>1.747173689619741E-2</v>
      </c>
      <c r="AW43" s="72">
        <v>6.0606060606060996E-3</v>
      </c>
      <c r="AX43" s="72">
        <v>-3.9156626506024139E-2</v>
      </c>
      <c r="AY43" s="72">
        <v>-7.3145245559038674E-3</v>
      </c>
      <c r="AZ43" s="24"/>
      <c r="BA43" s="72">
        <v>-4.4210526315789478E-2</v>
      </c>
      <c r="BB43" s="72">
        <v>-1.982378854625555E-2</v>
      </c>
      <c r="BC43" s="72">
        <v>-3.370786516853963E-3</v>
      </c>
      <c r="BD43" s="72">
        <v>-3.833145434047347E-2</v>
      </c>
      <c r="BE43" s="24"/>
    </row>
    <row r="44" spans="1:57">
      <c r="A44" s="71" t="s">
        <v>8</v>
      </c>
      <c r="B44" s="24"/>
      <c r="C44" s="73"/>
      <c r="D44" s="73"/>
      <c r="E44" s="73"/>
      <c r="F44" s="73"/>
      <c r="G44" s="24">
        <f t="shared" ref="G44" si="46">G42/B42-1</f>
        <v>8.400103385887836E-2</v>
      </c>
      <c r="H44" s="73"/>
      <c r="I44" s="73"/>
      <c r="J44" s="73"/>
      <c r="K44" s="73"/>
      <c r="L44" s="24">
        <f t="shared" ref="L44" si="47">L42/G42-1</f>
        <v>0.11063423938960426</v>
      </c>
      <c r="M44" s="73"/>
      <c r="N44" s="73"/>
      <c r="O44" s="73"/>
      <c r="P44" s="73"/>
      <c r="Q44" s="24">
        <f t="shared" ref="Q44" si="48">Q42/L42-1</f>
        <v>5.9896951481322347E-2</v>
      </c>
      <c r="R44" s="73">
        <f t="shared" ref="R44" si="49">R42/M42-1</f>
        <v>4.8657718120805438E-2</v>
      </c>
      <c r="S44" s="73">
        <f t="shared" ref="S44" si="50">S42/N42-1</f>
        <v>-3.7066246056782326E-2</v>
      </c>
      <c r="T44" s="73">
        <f t="shared" ref="T44" si="51">T42/O42-1</f>
        <v>-5.9055118110236227E-2</v>
      </c>
      <c r="U44" s="73">
        <f t="shared" ref="U44:V44" si="52">U42/P42-1</f>
        <v>-6.9594034797017423E-2</v>
      </c>
      <c r="V44" s="24">
        <f t="shared" si="52"/>
        <v>-2.9977719262710201E-2</v>
      </c>
      <c r="W44" s="73">
        <f t="shared" ref="W44" si="53">W42/R42-1</f>
        <v>-5.2000000000000046E-2</v>
      </c>
      <c r="X44" s="73">
        <f t="shared" ref="X44" si="54">X42/S42-1</f>
        <v>-8.1900081900081911E-2</v>
      </c>
      <c r="Y44" s="73">
        <f t="shared" ref="Y44" si="55">Y42/T42-1</f>
        <v>-0.14644351464435146</v>
      </c>
      <c r="Z44" s="73">
        <f t="shared" ref="Z44:AA44" si="56">Z42/U42-1</f>
        <v>1.2466607301869992E-2</v>
      </c>
      <c r="AA44" s="24">
        <f t="shared" si="56"/>
        <v>-6.8072666527458803E-2</v>
      </c>
      <c r="AB44" s="73">
        <f t="shared" ref="AB44" si="57">AB42/W42-1</f>
        <v>-0.14177215189873416</v>
      </c>
      <c r="AC44" s="73">
        <f t="shared" ref="AC44" si="58">AC42/X42-1</f>
        <v>-6.15521855486173E-2</v>
      </c>
      <c r="AD44" s="73">
        <f t="shared" ref="AD44" si="59">AD42/Y42-1</f>
        <v>2.3529411764705799E-2</v>
      </c>
      <c r="AE44" s="73">
        <f t="shared" ref="AE44" si="60">AE42/Z42-1</f>
        <v>-0.1187335092348285</v>
      </c>
      <c r="AF44" s="24">
        <v>-7.7974456643513324E-2</v>
      </c>
      <c r="AG44" s="73">
        <v>-2.2615535889872196E-2</v>
      </c>
      <c r="AH44" s="73">
        <v>-6.3688212927756616E-2</v>
      </c>
      <c r="AI44" s="73">
        <v>-6.8007662835249061E-2</v>
      </c>
      <c r="AJ44" s="73">
        <v>-3.2934131736526928E-2</v>
      </c>
      <c r="AK44" s="24">
        <v>-4.7144592952612419E-2</v>
      </c>
      <c r="AL44" s="73">
        <v>-5.835010060362178E-2</v>
      </c>
      <c r="AM44" s="73">
        <v>0.12081218274111682</v>
      </c>
      <c r="AN44" s="73">
        <v>0.12641315519013352</v>
      </c>
      <c r="AO44" s="73">
        <v>5.5727554179566541E-2</v>
      </c>
      <c r="AP44" s="24">
        <v>6.0698801326192209E-2</v>
      </c>
      <c r="AQ44" s="73">
        <v>9.8290598290598385E-2</v>
      </c>
      <c r="AR44" s="73">
        <v>-5.4347826086956541E-2</v>
      </c>
      <c r="AS44" s="73">
        <v>-7.3905109489051046E-2</v>
      </c>
      <c r="AT44" s="73">
        <v>-4.8875855327468187E-2</v>
      </c>
      <c r="AU44" s="24">
        <v>-2.3803798990141845E-2</v>
      </c>
      <c r="AV44" s="73">
        <v>-3.6964980544747061E-2</v>
      </c>
      <c r="AW44" s="73">
        <v>-4.5977011494252928E-2</v>
      </c>
      <c r="AX44" s="73">
        <v>-5.7142857142857162E-2</v>
      </c>
      <c r="AY44" s="73">
        <v>-2.3638232271325776E-2</v>
      </c>
      <c r="AZ44" s="24">
        <v>-4.1133004926108385E-2</v>
      </c>
      <c r="BA44" s="73">
        <v>-8.2828282828282807E-2</v>
      </c>
      <c r="BB44" s="73">
        <v>-0.10642570281124497</v>
      </c>
      <c r="BC44" s="73">
        <v>-7.3145245559038674E-2</v>
      </c>
      <c r="BD44" s="73">
        <v>-0.1021052631578947</v>
      </c>
      <c r="BE44" s="24">
        <v>-9.1189314153609091E-2</v>
      </c>
    </row>
    <row r="45" spans="1:57" ht="12.6" customHeight="1">
      <c r="A45" s="69" t="s">
        <v>32</v>
      </c>
      <c r="B45" s="64">
        <v>0.5</v>
      </c>
      <c r="C45" s="74">
        <v>0.15</v>
      </c>
      <c r="D45" s="74">
        <v>0.17</v>
      </c>
      <c r="E45" s="74">
        <v>0.17</v>
      </c>
      <c r="F45" s="75">
        <f>G45-E45-D45-C45</f>
        <v>0.11999999999999991</v>
      </c>
      <c r="G45" s="64">
        <v>0.61</v>
      </c>
      <c r="H45" s="74">
        <v>0.23</v>
      </c>
      <c r="I45" s="74">
        <v>0.2</v>
      </c>
      <c r="J45" s="74">
        <v>0.79</v>
      </c>
      <c r="K45" s="75">
        <f>L45-J45-I45-H45</f>
        <v>0.12209418646577999</v>
      </c>
      <c r="L45" s="64">
        <f>3603029/2684632</f>
        <v>1.34209418646578</v>
      </c>
      <c r="M45" s="74">
        <f>648428321/2709646450</f>
        <v>0.23930366302954395</v>
      </c>
      <c r="N45" s="74">
        <v>0.24</v>
      </c>
      <c r="O45" s="74">
        <v>0.22</v>
      </c>
      <c r="P45" s="74">
        <v>0.21</v>
      </c>
      <c r="Q45" s="64">
        <v>0.9</v>
      </c>
      <c r="R45" s="74">
        <v>0.15</v>
      </c>
      <c r="S45" s="74">
        <v>0.21</v>
      </c>
      <c r="T45" s="74">
        <v>0.2</v>
      </c>
      <c r="U45" s="75">
        <v>0.19</v>
      </c>
      <c r="V45" s="64">
        <v>0.76</v>
      </c>
      <c r="W45" s="74">
        <v>0.21</v>
      </c>
      <c r="X45" s="74">
        <v>0.15</v>
      </c>
      <c r="Y45" s="74">
        <v>0.13</v>
      </c>
      <c r="Z45" s="75">
        <f>AA45-Y45-X45-W45</f>
        <v>0.19000000000000003</v>
      </c>
      <c r="AA45" s="64">
        <v>0.68</v>
      </c>
      <c r="AB45" s="74">
        <v>0.18</v>
      </c>
      <c r="AC45" s="74">
        <v>0.17</v>
      </c>
      <c r="AD45" s="74">
        <v>0.16</v>
      </c>
      <c r="AE45" s="75">
        <v>0.13</v>
      </c>
      <c r="AF45" s="64">
        <v>0.65</v>
      </c>
      <c r="AG45" s="74">
        <v>0.17</v>
      </c>
      <c r="AH45" s="74">
        <v>0.28999999999999998</v>
      </c>
      <c r="AI45" s="74">
        <v>0.16</v>
      </c>
      <c r="AJ45" s="75">
        <v>0.15</v>
      </c>
      <c r="AK45" s="64">
        <v>0.77</v>
      </c>
      <c r="AL45" s="74">
        <v>0.17</v>
      </c>
      <c r="AM45" s="74">
        <v>0.17</v>
      </c>
      <c r="AN45" s="74">
        <v>0.15</v>
      </c>
      <c r="AO45" s="75">
        <v>0.12999999999999992</v>
      </c>
      <c r="AP45" s="64">
        <v>0.62</v>
      </c>
      <c r="AQ45" s="74">
        <v>0.1</v>
      </c>
      <c r="AR45" s="74">
        <v>0.14000000000000001</v>
      </c>
      <c r="AS45" s="74">
        <v>0.14000000000000001</v>
      </c>
      <c r="AT45" s="75">
        <v>6.9999999999999979E-2</v>
      </c>
      <c r="AU45" s="64">
        <v>0.45</v>
      </c>
      <c r="AV45" s="74">
        <v>0.13</v>
      </c>
      <c r="AW45" s="74">
        <v>0.13</v>
      </c>
      <c r="AX45" s="74">
        <v>0.12</v>
      </c>
      <c r="AY45" s="75">
        <v>7.0000000000000007E-2</v>
      </c>
      <c r="AZ45" s="64">
        <v>0.45</v>
      </c>
      <c r="BA45" s="74">
        <v>0.09</v>
      </c>
      <c r="BB45" s="74">
        <v>7.0000000000000007E-2</v>
      </c>
      <c r="BC45" s="74">
        <v>0.08</v>
      </c>
      <c r="BD45" s="226">
        <v>-0.63</v>
      </c>
      <c r="BE45" s="229">
        <v>-0.39</v>
      </c>
    </row>
    <row r="46" spans="1:57" hidden="1">
      <c r="A46" s="69" t="s">
        <v>34</v>
      </c>
      <c r="B46" s="65">
        <v>2605</v>
      </c>
      <c r="C46" s="76">
        <v>2605</v>
      </c>
      <c r="D46" s="76">
        <v>2605</v>
      </c>
      <c r="E46" s="76">
        <v>2605</v>
      </c>
      <c r="F46" s="76">
        <v>2605</v>
      </c>
      <c r="G46" s="65">
        <v>2605</v>
      </c>
      <c r="H46" s="76">
        <v>2605.6669999999999</v>
      </c>
      <c r="I46" s="76">
        <v>2616.77</v>
      </c>
      <c r="J46" s="76">
        <v>2628</v>
      </c>
      <c r="K46" s="76">
        <v>2657</v>
      </c>
      <c r="L46" s="65">
        <v>2635.4960000000001</v>
      </c>
      <c r="M46" s="76">
        <v>2663.427674</v>
      </c>
      <c r="N46" s="76">
        <v>2675.2443619999999</v>
      </c>
      <c r="O46" s="76">
        <v>2676.893313</v>
      </c>
      <c r="P46" s="76">
        <v>2682</v>
      </c>
      <c r="Q46" s="65">
        <v>2675</v>
      </c>
      <c r="R46" s="76">
        <v>2688.2785669999998</v>
      </c>
      <c r="S46" s="76">
        <v>2699</v>
      </c>
      <c r="T46" s="76">
        <v>2706</v>
      </c>
      <c r="U46" s="76">
        <v>2711</v>
      </c>
      <c r="V46" s="65">
        <v>2713.6277439999999</v>
      </c>
      <c r="W46" s="76">
        <v>2715</v>
      </c>
      <c r="X46" s="76">
        <v>2718</v>
      </c>
      <c r="Y46" s="76">
        <v>2721</v>
      </c>
      <c r="Z46" s="76">
        <v>2725</v>
      </c>
      <c r="AA46" s="65">
        <v>2720</v>
      </c>
      <c r="AB46" s="76">
        <v>2725</v>
      </c>
      <c r="AC46" s="76">
        <v>2725</v>
      </c>
      <c r="AD46" s="76">
        <v>2726</v>
      </c>
      <c r="AE46" s="76">
        <v>2729</v>
      </c>
      <c r="AF46" s="65">
        <v>2726</v>
      </c>
      <c r="AG46" s="76">
        <v>2731</v>
      </c>
      <c r="AH46" s="76">
        <v>2734</v>
      </c>
      <c r="AI46" s="76">
        <v>2737</v>
      </c>
      <c r="AJ46" s="76">
        <v>2741</v>
      </c>
      <c r="AK46" s="65">
        <v>2736</v>
      </c>
      <c r="AL46" s="76">
        <v>2744</v>
      </c>
      <c r="AM46" s="76">
        <v>2746</v>
      </c>
      <c r="AN46" s="76">
        <v>2750</v>
      </c>
      <c r="AO46" s="76">
        <v>2758</v>
      </c>
      <c r="AP46" s="65">
        <v>2750</v>
      </c>
      <c r="AQ46" s="76">
        <v>2765</v>
      </c>
      <c r="AR46" s="76">
        <v>2765</v>
      </c>
      <c r="AS46" s="76">
        <v>2765</v>
      </c>
      <c r="AT46" s="76">
        <v>2765</v>
      </c>
      <c r="AU46" s="65">
        <v>2765</v>
      </c>
      <c r="AV46" s="76">
        <v>2765</v>
      </c>
      <c r="AW46" s="76">
        <v>2765</v>
      </c>
      <c r="AX46" s="76">
        <v>2765</v>
      </c>
      <c r="AY46" s="76">
        <v>2765</v>
      </c>
      <c r="AZ46" s="65"/>
      <c r="BA46" s="76">
        <v>2765</v>
      </c>
      <c r="BB46" s="76">
        <v>2765</v>
      </c>
      <c r="BC46" s="76">
        <v>2765</v>
      </c>
      <c r="BD46" s="76">
        <v>2765</v>
      </c>
      <c r="BE46" s="65"/>
    </row>
    <row r="47" spans="1:57">
      <c r="A47" s="69" t="s">
        <v>33</v>
      </c>
      <c r="B47" s="65">
        <v>2641</v>
      </c>
      <c r="C47" s="76">
        <v>2649</v>
      </c>
      <c r="D47" s="76">
        <v>2648</v>
      </c>
      <c r="E47" s="76">
        <v>2648</v>
      </c>
      <c r="F47" s="76">
        <v>2649</v>
      </c>
      <c r="G47" s="65">
        <v>2649</v>
      </c>
      <c r="H47" s="76">
        <v>2646.8939999999998</v>
      </c>
      <c r="I47" s="76">
        <v>2666.6060000000002</v>
      </c>
      <c r="J47" s="76">
        <v>2677</v>
      </c>
      <c r="K47" s="76">
        <v>2702</v>
      </c>
      <c r="L47" s="65">
        <v>2684.6320000000001</v>
      </c>
      <c r="M47" s="76">
        <v>2709.6464500000002</v>
      </c>
      <c r="N47" s="76">
        <v>2712.6721739999998</v>
      </c>
      <c r="O47" s="76">
        <v>2714.7899040000002</v>
      </c>
      <c r="P47" s="76">
        <v>2720</v>
      </c>
      <c r="Q47" s="65">
        <v>2717</v>
      </c>
      <c r="R47" s="76">
        <v>2722.1732790000001</v>
      </c>
      <c r="S47" s="76">
        <v>2724</v>
      </c>
      <c r="T47" s="76">
        <v>2724</v>
      </c>
      <c r="U47" s="76">
        <v>2725</v>
      </c>
      <c r="V47" s="65">
        <v>2725</v>
      </c>
      <c r="W47" s="76">
        <v>2727</v>
      </c>
      <c r="X47" s="76">
        <v>2724</v>
      </c>
      <c r="Y47" s="76">
        <v>2725</v>
      </c>
      <c r="Z47" s="76">
        <v>2726</v>
      </c>
      <c r="AA47" s="65">
        <v>2726</v>
      </c>
      <c r="AB47" s="76">
        <v>2726</v>
      </c>
      <c r="AC47" s="76">
        <v>2729</v>
      </c>
      <c r="AD47" s="76">
        <v>2743</v>
      </c>
      <c r="AE47" s="76">
        <v>2749</v>
      </c>
      <c r="AF47" s="65">
        <v>2741</v>
      </c>
      <c r="AG47" s="76">
        <v>2749</v>
      </c>
      <c r="AH47" s="76">
        <v>2752</v>
      </c>
      <c r="AI47" s="76">
        <v>2755</v>
      </c>
      <c r="AJ47" s="76">
        <v>2761</v>
      </c>
      <c r="AK47" s="65">
        <v>2755</v>
      </c>
      <c r="AL47" s="76">
        <v>2759</v>
      </c>
      <c r="AM47" s="76">
        <v>2759</v>
      </c>
      <c r="AN47" s="76">
        <v>2762</v>
      </c>
      <c r="AO47" s="76">
        <v>2764</v>
      </c>
      <c r="AP47" s="65">
        <v>2763</v>
      </c>
      <c r="AQ47" s="76">
        <v>2765</v>
      </c>
      <c r="AR47" s="76">
        <v>2765</v>
      </c>
      <c r="AS47" s="76">
        <v>2765</v>
      </c>
      <c r="AT47" s="76">
        <v>2765</v>
      </c>
      <c r="AU47" s="65">
        <v>2765</v>
      </c>
      <c r="AV47" s="76">
        <v>2765</v>
      </c>
      <c r="AW47" s="76">
        <v>2765</v>
      </c>
      <c r="AX47" s="76">
        <v>2765</v>
      </c>
      <c r="AY47" s="76">
        <v>2765</v>
      </c>
      <c r="AZ47" s="65">
        <v>2765</v>
      </c>
      <c r="BA47" s="76">
        <v>2765</v>
      </c>
      <c r="BB47" s="76">
        <v>2765</v>
      </c>
      <c r="BC47" s="76">
        <v>2765</v>
      </c>
      <c r="BD47" s="76">
        <v>2765</v>
      </c>
      <c r="BE47" s="65">
        <v>2765</v>
      </c>
    </row>
    <row r="48" spans="1:57" ht="13.5" customHeight="1">
      <c r="A48" s="40" t="s">
        <v>136</v>
      </c>
      <c r="B48" s="40"/>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row>
    <row r="49" spans="1:57" ht="13.5" customHeight="1">
      <c r="A49" s="69" t="s">
        <v>99</v>
      </c>
      <c r="B49" s="65">
        <v>5075</v>
      </c>
      <c r="C49" s="80" t="s">
        <v>52</v>
      </c>
      <c r="D49" s="80" t="s">
        <v>52</v>
      </c>
      <c r="E49" s="80" t="s">
        <v>52</v>
      </c>
      <c r="F49" s="80" t="s">
        <v>52</v>
      </c>
      <c r="G49" s="65">
        <v>4660</v>
      </c>
      <c r="H49" s="120" t="s">
        <v>44</v>
      </c>
      <c r="I49" s="120" t="s">
        <v>44</v>
      </c>
      <c r="J49" s="120" t="s">
        <v>44</v>
      </c>
      <c r="K49" s="120" t="s">
        <v>44</v>
      </c>
      <c r="L49" s="65">
        <f>L52+L55+L58+L61+L64+L67+L70+ L73</f>
        <v>4871</v>
      </c>
      <c r="M49" s="70">
        <v>1218</v>
      </c>
      <c r="N49" s="70">
        <v>1224</v>
      </c>
      <c r="O49" s="70">
        <v>1271</v>
      </c>
      <c r="P49" s="70">
        <f>Q49-O49-N49-M49</f>
        <v>1313</v>
      </c>
      <c r="Q49" s="65">
        <f>Q52+Q55+Q58+Q61+Q64+Q67+Q70+ Q73</f>
        <v>5026</v>
      </c>
      <c r="R49" s="70">
        <v>1218</v>
      </c>
      <c r="S49" s="70">
        <v>1224</v>
      </c>
      <c r="T49" s="70">
        <v>1271</v>
      </c>
      <c r="U49" s="70">
        <f>V49-T49-S49-R49</f>
        <v>781</v>
      </c>
      <c r="V49" s="65">
        <f>V52+V55+V58+V61+V64+V67+V70+ V73</f>
        <v>4494</v>
      </c>
      <c r="W49" s="70">
        <v>1218</v>
      </c>
      <c r="X49" s="70">
        <v>1224</v>
      </c>
      <c r="Y49" s="70">
        <v>1271</v>
      </c>
      <c r="Z49" s="70">
        <f>AA49-Y49-X49-W49</f>
        <v>240</v>
      </c>
      <c r="AA49" s="65">
        <f>AA52+AA55+AA58+AA61+AA64+AA67+AA70+ AA73</f>
        <v>3953</v>
      </c>
      <c r="AB49" s="70">
        <v>1218</v>
      </c>
      <c r="AC49" s="70">
        <v>1224</v>
      </c>
      <c r="AD49" s="70">
        <v>1271</v>
      </c>
      <c r="AE49" s="70">
        <f>AF49-AD49-AC49-AB49</f>
        <v>-137</v>
      </c>
      <c r="AF49" s="65">
        <v>3576</v>
      </c>
      <c r="AG49" s="70">
        <v>1218</v>
      </c>
      <c r="AH49" s="70">
        <v>1224</v>
      </c>
      <c r="AI49" s="70">
        <v>1271</v>
      </c>
      <c r="AJ49" s="70">
        <v>-347</v>
      </c>
      <c r="AK49" s="65">
        <v>3366</v>
      </c>
      <c r="AL49" s="70">
        <v>799</v>
      </c>
      <c r="AM49" s="70">
        <v>1002</v>
      </c>
      <c r="AN49" s="70">
        <v>1000</v>
      </c>
      <c r="AO49" s="70">
        <v>1068</v>
      </c>
      <c r="AP49" s="65">
        <v>3869</v>
      </c>
      <c r="AQ49" s="70">
        <v>1018</v>
      </c>
      <c r="AR49" s="70">
        <v>972</v>
      </c>
      <c r="AS49" s="70">
        <v>994</v>
      </c>
      <c r="AT49" s="70">
        <v>1028</v>
      </c>
      <c r="AU49" s="65">
        <v>4012</v>
      </c>
      <c r="AV49" s="70">
        <v>959</v>
      </c>
      <c r="AW49" s="70">
        <v>973</v>
      </c>
      <c r="AX49" s="70">
        <v>956</v>
      </c>
      <c r="AY49" s="70">
        <v>1003</v>
      </c>
      <c r="AZ49" s="65">
        <v>3891</v>
      </c>
      <c r="BA49" s="70">
        <v>841</v>
      </c>
      <c r="BB49" s="70">
        <v>838</v>
      </c>
      <c r="BC49" s="70">
        <v>815</v>
      </c>
      <c r="BD49" s="70">
        <v>885</v>
      </c>
      <c r="BE49" s="65">
        <v>3379</v>
      </c>
    </row>
    <row r="50" spans="1:57" ht="10.5" customHeight="1">
      <c r="A50" s="71" t="s">
        <v>7</v>
      </c>
      <c r="B50" s="24"/>
      <c r="C50" s="73"/>
      <c r="D50" s="73"/>
      <c r="E50" s="73"/>
      <c r="F50" s="73"/>
      <c r="G50" s="24"/>
      <c r="H50" s="73"/>
      <c r="I50" s="73"/>
      <c r="J50" s="73"/>
      <c r="K50" s="73"/>
      <c r="L50" s="24"/>
      <c r="M50" s="73"/>
      <c r="N50" s="72">
        <f>N49/M49-1</f>
        <v>4.9261083743843415E-3</v>
      </c>
      <c r="O50" s="72">
        <f>O49/N49-1</f>
        <v>3.8398692810457602E-2</v>
      </c>
      <c r="P50" s="72">
        <f>P49/O49-1</f>
        <v>3.3044846577497955E-2</v>
      </c>
      <c r="Q50" s="24"/>
      <c r="R50" s="72">
        <f>R49/P49-1</f>
        <v>-7.2353389185072392E-2</v>
      </c>
      <c r="S50" s="72">
        <f>S49/R49-1</f>
        <v>4.9261083743843415E-3</v>
      </c>
      <c r="T50" s="72">
        <f>T49/S49-1</f>
        <v>3.8398692810457602E-2</v>
      </c>
      <c r="U50" s="72">
        <f>U49/T49-1</f>
        <v>-0.38552321007081036</v>
      </c>
      <c r="V50" s="24"/>
      <c r="W50" s="72">
        <f>W49/U49-1</f>
        <v>0.55953905249679892</v>
      </c>
      <c r="X50" s="72">
        <f>X49/W49-1</f>
        <v>4.9261083743843415E-3</v>
      </c>
      <c r="Y50" s="72">
        <f>Y49/X49-1</f>
        <v>3.8398692810457602E-2</v>
      </c>
      <c r="Z50" s="72">
        <f>Z49/Y49-1</f>
        <v>-0.8111723052714398</v>
      </c>
      <c r="AA50" s="24"/>
      <c r="AB50" s="72">
        <f>AB49/Z49-1</f>
        <v>4.0750000000000002</v>
      </c>
      <c r="AC50" s="72">
        <f>AC49/AB49-1</f>
        <v>4.9261083743843415E-3</v>
      </c>
      <c r="AD50" s="72">
        <f>AD49/AC49-1</f>
        <v>3.8398692810457602E-2</v>
      </c>
      <c r="AE50" s="72">
        <f>AE49/AD49-1</f>
        <v>-1.1077891424075532</v>
      </c>
      <c r="AF50" s="24"/>
      <c r="AG50" s="72">
        <v>-9.89051094890511</v>
      </c>
      <c r="AH50" s="72">
        <v>4.9261083743843415E-3</v>
      </c>
      <c r="AI50" s="72">
        <v>3.8398692810457602E-2</v>
      </c>
      <c r="AJ50" s="72">
        <v>-1.2730133752950432</v>
      </c>
      <c r="AK50" s="24"/>
      <c r="AL50" s="72">
        <v>-3.3025936599423633</v>
      </c>
      <c r="AM50" s="72">
        <v>0.25406758448060085</v>
      </c>
      <c r="AN50" s="72">
        <v>-1.9960079840319889E-3</v>
      </c>
      <c r="AO50" s="72">
        <v>6.800000000000006E-2</v>
      </c>
      <c r="AP50" s="24"/>
      <c r="AQ50" s="72">
        <v>-4.6816479400749067E-2</v>
      </c>
      <c r="AR50" s="72">
        <v>-4.5186640471512773E-2</v>
      </c>
      <c r="AS50" s="72">
        <v>2.2633744855967031E-2</v>
      </c>
      <c r="AT50" s="72">
        <v>3.4205231388329871E-2</v>
      </c>
      <c r="AU50" s="24"/>
      <c r="AV50" s="72">
        <v>-6.7120622568093369E-2</v>
      </c>
      <c r="AW50" s="72">
        <v>1.4598540145985384E-2</v>
      </c>
      <c r="AX50" s="72">
        <v>-1.7471736896197299E-2</v>
      </c>
      <c r="AY50" s="72">
        <v>4.9163179916317912E-2</v>
      </c>
      <c r="AZ50" s="24"/>
      <c r="BA50" s="72">
        <v>-0.16151545363908271</v>
      </c>
      <c r="BB50" s="72">
        <v>-3.5671819262782511E-3</v>
      </c>
      <c r="BC50" s="72">
        <v>-2.7446300715990413E-2</v>
      </c>
      <c r="BD50" s="72">
        <v>8.5889570552147187E-2</v>
      </c>
      <c r="BE50" s="24"/>
    </row>
    <row r="51" spans="1:57" ht="14.1" customHeight="1">
      <c r="A51" s="71" t="s">
        <v>8</v>
      </c>
      <c r="B51" s="24"/>
      <c r="C51" s="73"/>
      <c r="D51" s="73"/>
      <c r="E51" s="73"/>
      <c r="F51" s="73"/>
      <c r="G51" s="24">
        <f>G49/B49-1</f>
        <v>-8.1773399014778314E-2</v>
      </c>
      <c r="H51" s="73"/>
      <c r="I51" s="73"/>
      <c r="J51" s="73"/>
      <c r="K51" s="73"/>
      <c r="L51" s="24">
        <f>L49/G49-1</f>
        <v>4.5278969957081472E-2</v>
      </c>
      <c r="M51" s="73"/>
      <c r="N51" s="73"/>
      <c r="O51" s="73"/>
      <c r="P51" s="73"/>
      <c r="Q51" s="24">
        <f t="shared" ref="Q51:AA51" si="61">Q49/L49-1</f>
        <v>3.1820981318004593E-2</v>
      </c>
      <c r="R51" s="73">
        <f t="shared" si="61"/>
        <v>0</v>
      </c>
      <c r="S51" s="73">
        <f t="shared" si="61"/>
        <v>0</v>
      </c>
      <c r="T51" s="73">
        <f t="shared" si="61"/>
        <v>0</v>
      </c>
      <c r="U51" s="73">
        <f t="shared" si="61"/>
        <v>-0.40517897943640513</v>
      </c>
      <c r="V51" s="24">
        <f t="shared" si="61"/>
        <v>-0.10584958217270191</v>
      </c>
      <c r="W51" s="73">
        <f t="shared" si="61"/>
        <v>0</v>
      </c>
      <c r="X51" s="73">
        <f t="shared" si="61"/>
        <v>0</v>
      </c>
      <c r="Y51" s="73">
        <f t="shared" si="61"/>
        <v>0</v>
      </c>
      <c r="Z51" s="73">
        <f t="shared" si="61"/>
        <v>-0.69270166453265047</v>
      </c>
      <c r="AA51" s="24">
        <f t="shared" si="61"/>
        <v>-0.12038273253226528</v>
      </c>
      <c r="AB51" s="73">
        <f>AB49/R49-1</f>
        <v>0</v>
      </c>
      <c r="AC51" s="73">
        <f t="shared" ref="AC51:AE51" si="62">AC49/X49-1</f>
        <v>0</v>
      </c>
      <c r="AD51" s="73">
        <f t="shared" si="62"/>
        <v>0</v>
      </c>
      <c r="AE51" s="73">
        <f t="shared" si="62"/>
        <v>-1.5708333333333333</v>
      </c>
      <c r="AF51" s="24">
        <v>-9.5370604604098186E-2</v>
      </c>
      <c r="AG51" s="73">
        <v>0</v>
      </c>
      <c r="AH51" s="73">
        <v>0</v>
      </c>
      <c r="AI51" s="73">
        <v>0</v>
      </c>
      <c r="AJ51" s="73">
        <v>1.5328467153284673</v>
      </c>
      <c r="AK51" s="24">
        <v>-5.8724832214765099E-2</v>
      </c>
      <c r="AL51" s="73">
        <v>-0.34400656814449915</v>
      </c>
      <c r="AM51" s="73">
        <v>-0.18137254901960786</v>
      </c>
      <c r="AN51" s="73">
        <v>-0.21321793863099925</v>
      </c>
      <c r="AO51" s="73">
        <v>-4.0778097982708932</v>
      </c>
      <c r="AP51" s="24">
        <v>0.14943553178847302</v>
      </c>
      <c r="AQ51" s="73">
        <v>0.27409261576971211</v>
      </c>
      <c r="AR51" s="73">
        <v>-2.9940119760479056E-2</v>
      </c>
      <c r="AS51" s="73">
        <v>-6.0000000000000053E-3</v>
      </c>
      <c r="AT51" s="73">
        <v>-3.7453183520599231E-2</v>
      </c>
      <c r="AU51" s="24">
        <v>3.6960454897906336E-2</v>
      </c>
      <c r="AV51" s="73">
        <v>-5.7956777996070685E-2</v>
      </c>
      <c r="AW51" s="73">
        <v>1.0288065843622185E-3</v>
      </c>
      <c r="AX51" s="73">
        <v>-3.82293762575453E-2</v>
      </c>
      <c r="AY51" s="73">
        <v>-2.4319066147859947E-2</v>
      </c>
      <c r="AZ51" s="24">
        <v>-3.0159521435692893E-2</v>
      </c>
      <c r="BA51" s="73">
        <v>-0.12304483837330549</v>
      </c>
      <c r="BB51" s="73">
        <v>-0.13874614594039059</v>
      </c>
      <c r="BC51" s="73">
        <v>-0.14748953974895396</v>
      </c>
      <c r="BD51" s="73">
        <v>-0.11764705882352944</v>
      </c>
      <c r="BE51" s="24">
        <v>-0.13158571061423796</v>
      </c>
    </row>
    <row r="52" spans="1:57" ht="13.5" customHeight="1">
      <c r="A52" s="69" t="s">
        <v>89</v>
      </c>
      <c r="B52" s="123" t="s">
        <v>44</v>
      </c>
      <c r="C52" s="80" t="s">
        <v>52</v>
      </c>
      <c r="D52" s="80" t="s">
        <v>52</v>
      </c>
      <c r="E52" s="80" t="s">
        <v>52</v>
      </c>
      <c r="F52" s="80" t="s">
        <v>52</v>
      </c>
      <c r="G52" s="123" t="s">
        <v>44</v>
      </c>
      <c r="H52" s="80" t="s">
        <v>52</v>
      </c>
      <c r="I52" s="80" t="s">
        <v>52</v>
      </c>
      <c r="J52" s="80" t="s">
        <v>52</v>
      </c>
      <c r="K52" s="80" t="s">
        <v>52</v>
      </c>
      <c r="L52" s="65">
        <v>1163</v>
      </c>
      <c r="M52" s="80" t="s">
        <v>52</v>
      </c>
      <c r="N52" s="80" t="s">
        <v>52</v>
      </c>
      <c r="O52" s="80" t="s">
        <v>52</v>
      </c>
      <c r="P52" s="80" t="s">
        <v>52</v>
      </c>
      <c r="Q52" s="65">
        <v>1225</v>
      </c>
      <c r="R52" s="70">
        <v>430</v>
      </c>
      <c r="S52" s="70">
        <v>443</v>
      </c>
      <c r="T52" s="70">
        <v>454</v>
      </c>
      <c r="U52" s="70">
        <f>V52-T52-S52-R52</f>
        <v>366</v>
      </c>
      <c r="V52" s="65">
        <v>1693</v>
      </c>
      <c r="W52" s="70">
        <v>379</v>
      </c>
      <c r="X52" s="70">
        <v>293</v>
      </c>
      <c r="Y52" s="70">
        <v>285</v>
      </c>
      <c r="Z52" s="70">
        <f>AA52-Y52-X52-W52</f>
        <v>306</v>
      </c>
      <c r="AA52" s="65">
        <v>1263</v>
      </c>
      <c r="AB52" s="70">
        <v>258</v>
      </c>
      <c r="AC52" s="70">
        <v>247</v>
      </c>
      <c r="AD52" s="70">
        <v>264</v>
      </c>
      <c r="AE52" s="70">
        <f>AF52-AD52-AC52-AB52</f>
        <v>302</v>
      </c>
      <c r="AF52" s="65">
        <v>1071</v>
      </c>
      <c r="AG52" s="70">
        <v>262</v>
      </c>
      <c r="AH52" s="70">
        <v>212</v>
      </c>
      <c r="AI52" s="70">
        <v>200</v>
      </c>
      <c r="AJ52" s="70">
        <v>254</v>
      </c>
      <c r="AK52" s="65">
        <v>928</v>
      </c>
      <c r="AL52" s="70">
        <v>226</v>
      </c>
      <c r="AM52" s="70">
        <v>205</v>
      </c>
      <c r="AN52" s="70">
        <v>193</v>
      </c>
      <c r="AO52" s="70">
        <v>256</v>
      </c>
      <c r="AP52" s="65">
        <v>880</v>
      </c>
      <c r="AQ52" s="70">
        <v>216</v>
      </c>
      <c r="AR52" s="70">
        <v>201</v>
      </c>
      <c r="AS52" s="70">
        <v>177</v>
      </c>
      <c r="AT52" s="70">
        <v>237</v>
      </c>
      <c r="AU52" s="65">
        <v>831</v>
      </c>
      <c r="AV52" s="70">
        <v>202</v>
      </c>
      <c r="AW52" s="70">
        <v>230</v>
      </c>
      <c r="AX52" s="70">
        <v>181</v>
      </c>
      <c r="AY52" s="70">
        <v>242</v>
      </c>
      <c r="AZ52" s="65">
        <v>855</v>
      </c>
      <c r="BA52" s="70">
        <v>189</v>
      </c>
      <c r="BB52" s="70">
        <v>171</v>
      </c>
      <c r="BC52" s="70">
        <v>167</v>
      </c>
      <c r="BD52" s="70">
        <v>210</v>
      </c>
      <c r="BE52" s="65">
        <v>737</v>
      </c>
    </row>
    <row r="53" spans="1:57" ht="10.199999999999999" customHeight="1">
      <c r="A53" s="71" t="s">
        <v>7</v>
      </c>
      <c r="B53" s="24"/>
      <c r="C53" s="95"/>
      <c r="D53" s="95"/>
      <c r="E53" s="95"/>
      <c r="F53" s="95"/>
      <c r="G53" s="24"/>
      <c r="H53" s="95"/>
      <c r="I53" s="95"/>
      <c r="J53" s="95"/>
      <c r="K53" s="95"/>
      <c r="L53" s="24"/>
      <c r="M53" s="95"/>
      <c r="N53" s="95"/>
      <c r="O53" s="95"/>
      <c r="P53" s="95"/>
      <c r="Q53" s="24"/>
      <c r="R53" s="72"/>
      <c r="S53" s="72">
        <f>S52/R52-1</f>
        <v>3.0232558139534849E-2</v>
      </c>
      <c r="T53" s="72">
        <f>T52/S52-1</f>
        <v>2.483069977426644E-2</v>
      </c>
      <c r="U53" s="72">
        <f>U52/T52-1</f>
        <v>-0.19383259911894268</v>
      </c>
      <c r="V53" s="24"/>
      <c r="W53" s="72">
        <f>W52/U52-1</f>
        <v>3.5519125683060038E-2</v>
      </c>
      <c r="X53" s="72">
        <f>X52/W52-1</f>
        <v>-0.22691292875989444</v>
      </c>
      <c r="Y53" s="72">
        <f>Y52/X52-1</f>
        <v>-2.7303754266211566E-2</v>
      </c>
      <c r="Z53" s="72">
        <f>Z52/Y52-1</f>
        <v>7.3684210526315796E-2</v>
      </c>
      <c r="AA53" s="24"/>
      <c r="AB53" s="72">
        <f>AB52/Z52-1</f>
        <v>-0.15686274509803921</v>
      </c>
      <c r="AC53" s="72">
        <f>AC52/AB52-1</f>
        <v>-4.2635658914728647E-2</v>
      </c>
      <c r="AD53" s="72">
        <f>AD52/AC52-1</f>
        <v>6.8825910931174183E-2</v>
      </c>
      <c r="AE53" s="72">
        <f>AE52/AD52-1</f>
        <v>0.14393939393939403</v>
      </c>
      <c r="AF53" s="24"/>
      <c r="AG53" s="72">
        <v>-0.13245033112582782</v>
      </c>
      <c r="AH53" s="72">
        <v>-0.19083969465648853</v>
      </c>
      <c r="AI53" s="72">
        <v>-5.6603773584905648E-2</v>
      </c>
      <c r="AJ53" s="72">
        <v>0.27</v>
      </c>
      <c r="AK53" s="24"/>
      <c r="AL53" s="72">
        <v>-0.11023622047244097</v>
      </c>
      <c r="AM53" s="72">
        <v>-9.2920353982300918E-2</v>
      </c>
      <c r="AN53" s="72">
        <v>-5.8536585365853711E-2</v>
      </c>
      <c r="AO53" s="72">
        <v>0.32642487046632129</v>
      </c>
      <c r="AP53" s="24"/>
      <c r="AQ53" s="72">
        <v>-0.15625</v>
      </c>
      <c r="AR53" s="72">
        <v>-6.944444444444442E-2</v>
      </c>
      <c r="AS53" s="72">
        <v>-0.11940298507462688</v>
      </c>
      <c r="AT53" s="72">
        <v>0.33898305084745761</v>
      </c>
      <c r="AU53" s="24"/>
      <c r="AV53" s="72">
        <v>-0.14767932489451474</v>
      </c>
      <c r="AW53" s="72">
        <v>0.13861386138613851</v>
      </c>
      <c r="AX53" s="72">
        <v>-0.21304347826086956</v>
      </c>
      <c r="AY53" s="72">
        <v>0.33701657458563528</v>
      </c>
      <c r="AZ53" s="24"/>
      <c r="BA53" s="72">
        <v>-0.21900826446280997</v>
      </c>
      <c r="BB53" s="72">
        <v>-9.5238095238095233E-2</v>
      </c>
      <c r="BC53" s="72">
        <v>-2.3391812865497075E-2</v>
      </c>
      <c r="BD53" s="72">
        <v>0.25748502994011968</v>
      </c>
      <c r="BE53" s="24"/>
    </row>
    <row r="54" spans="1:57" ht="15.6" customHeight="1">
      <c r="A54" s="71" t="s">
        <v>8</v>
      </c>
      <c r="B54" s="24"/>
      <c r="C54" s="95"/>
      <c r="D54" s="95"/>
      <c r="E54" s="95"/>
      <c r="F54" s="95"/>
      <c r="G54" s="24"/>
      <c r="H54" s="95"/>
      <c r="I54" s="95"/>
      <c r="J54" s="95"/>
      <c r="K54" s="95"/>
      <c r="L54" s="24"/>
      <c r="M54" s="95"/>
      <c r="N54" s="95"/>
      <c r="O54" s="95"/>
      <c r="P54" s="95"/>
      <c r="Q54" s="24">
        <f>Q52/L52-1</f>
        <v>5.3310404127257183E-2</v>
      </c>
      <c r="R54" s="73"/>
      <c r="S54" s="73"/>
      <c r="T54" s="73"/>
      <c r="U54" s="73"/>
      <c r="V54" s="24">
        <f t="shared" ref="V54:AD54" si="63">V52/Q52-1</f>
        <v>0.38204081632653053</v>
      </c>
      <c r="W54" s="73">
        <f t="shared" si="63"/>
        <v>-0.11860465116279073</v>
      </c>
      <c r="X54" s="73">
        <f t="shared" si="63"/>
        <v>-0.33860045146726858</v>
      </c>
      <c r="Y54" s="73">
        <f t="shared" si="63"/>
        <v>-0.3722466960352423</v>
      </c>
      <c r="Z54" s="73">
        <f t="shared" si="63"/>
        <v>-0.16393442622950816</v>
      </c>
      <c r="AA54" s="24">
        <f t="shared" si="63"/>
        <v>-0.25398700531600704</v>
      </c>
      <c r="AB54" s="73">
        <f t="shared" si="63"/>
        <v>-0.31926121372031657</v>
      </c>
      <c r="AC54" s="73">
        <f t="shared" si="63"/>
        <v>-0.15699658703071673</v>
      </c>
      <c r="AD54" s="73">
        <f t="shared" si="63"/>
        <v>-7.3684210526315796E-2</v>
      </c>
      <c r="AE54" s="73">
        <f t="shared" ref="AE54" si="64">AE52/Z52-1</f>
        <v>-1.3071895424836555E-2</v>
      </c>
      <c r="AF54" s="24">
        <v>-0.15201900237529686</v>
      </c>
      <c r="AG54" s="73">
        <v>1.5503875968992276E-2</v>
      </c>
      <c r="AH54" s="73">
        <v>-0.1417004048582996</v>
      </c>
      <c r="AI54" s="73">
        <v>-0.24242424242424243</v>
      </c>
      <c r="AJ54" s="73">
        <v>-0.15894039735099341</v>
      </c>
      <c r="AK54" s="24">
        <v>-0.13352007469654525</v>
      </c>
      <c r="AL54" s="73">
        <v>-0.13740458015267176</v>
      </c>
      <c r="AM54" s="73">
        <v>-3.301886792452835E-2</v>
      </c>
      <c r="AN54" s="73">
        <v>-3.5000000000000031E-2</v>
      </c>
      <c r="AO54" s="73">
        <v>7.8740157480314821E-3</v>
      </c>
      <c r="AP54" s="24">
        <v>-5.1724137931034475E-2</v>
      </c>
      <c r="AQ54" s="73">
        <v>-4.4247787610619427E-2</v>
      </c>
      <c r="AR54" s="73">
        <v>-1.9512195121951237E-2</v>
      </c>
      <c r="AS54" s="73">
        <v>-8.2901554404145039E-2</v>
      </c>
      <c r="AT54" s="73">
        <v>-7.421875E-2</v>
      </c>
      <c r="AU54" s="24">
        <v>-5.5681818181818166E-2</v>
      </c>
      <c r="AV54" s="73">
        <v>-6.481481481481477E-2</v>
      </c>
      <c r="AW54" s="73">
        <v>0.14427860696517403</v>
      </c>
      <c r="AX54" s="73">
        <v>2.2598870056497189E-2</v>
      </c>
      <c r="AY54" s="73">
        <v>2.1097046413502074E-2</v>
      </c>
      <c r="AZ54" s="24">
        <v>2.8880866425992746E-2</v>
      </c>
      <c r="BA54" s="73">
        <v>-6.4356435643564303E-2</v>
      </c>
      <c r="BB54" s="73">
        <v>-0.25652173913043474</v>
      </c>
      <c r="BC54" s="73">
        <v>-7.7348066298342566E-2</v>
      </c>
      <c r="BD54" s="73">
        <v>-0.13223140495867769</v>
      </c>
      <c r="BE54" s="24">
        <v>-0.1380116959064327</v>
      </c>
    </row>
    <row r="55" spans="1:57" ht="13.5" customHeight="1">
      <c r="A55" s="69" t="s">
        <v>88</v>
      </c>
      <c r="B55" s="123" t="s">
        <v>44</v>
      </c>
      <c r="C55" s="80" t="s">
        <v>52</v>
      </c>
      <c r="D55" s="80" t="s">
        <v>52</v>
      </c>
      <c r="E55" s="80" t="s">
        <v>52</v>
      </c>
      <c r="F55" s="80" t="s">
        <v>52</v>
      </c>
      <c r="G55" s="123" t="s">
        <v>44</v>
      </c>
      <c r="H55" s="80" t="s">
        <v>52</v>
      </c>
      <c r="I55" s="80" t="s">
        <v>52</v>
      </c>
      <c r="J55" s="80" t="s">
        <v>52</v>
      </c>
      <c r="K55" s="80" t="s">
        <v>52</v>
      </c>
      <c r="L55" s="65">
        <v>1762</v>
      </c>
      <c r="M55" s="80" t="s">
        <v>52</v>
      </c>
      <c r="N55" s="80" t="s">
        <v>52</v>
      </c>
      <c r="O55" s="80" t="s">
        <v>52</v>
      </c>
      <c r="P55" s="80" t="s">
        <v>52</v>
      </c>
      <c r="Q55" s="65">
        <v>1876</v>
      </c>
      <c r="R55" s="70">
        <v>222</v>
      </c>
      <c r="S55" s="70">
        <v>224</v>
      </c>
      <c r="T55" s="70">
        <v>242</v>
      </c>
      <c r="U55" s="70">
        <f>V55-T55-S55-R55</f>
        <v>222</v>
      </c>
      <c r="V55" s="65">
        <v>910</v>
      </c>
      <c r="W55" s="70">
        <v>224</v>
      </c>
      <c r="X55" s="70">
        <v>222</v>
      </c>
      <c r="Y55" s="70">
        <v>229</v>
      </c>
      <c r="Z55" s="70">
        <f>AA55-Y55-X55-W55</f>
        <v>225</v>
      </c>
      <c r="AA55" s="65">
        <v>900</v>
      </c>
      <c r="AB55" s="70">
        <v>224</v>
      </c>
      <c r="AC55" s="70">
        <v>228</v>
      </c>
      <c r="AD55" s="70">
        <v>232</v>
      </c>
      <c r="AE55" s="70">
        <f>AF55-AD55-AC55-AB55</f>
        <v>221</v>
      </c>
      <c r="AF55" s="65">
        <v>905</v>
      </c>
      <c r="AG55" s="70">
        <v>206</v>
      </c>
      <c r="AH55" s="70">
        <v>208</v>
      </c>
      <c r="AI55" s="70">
        <v>219</v>
      </c>
      <c r="AJ55" s="70">
        <v>214</v>
      </c>
      <c r="AK55" s="65">
        <v>847</v>
      </c>
      <c r="AL55" s="70">
        <v>212</v>
      </c>
      <c r="AM55" s="70">
        <v>241</v>
      </c>
      <c r="AN55" s="70">
        <v>236</v>
      </c>
      <c r="AO55" s="70">
        <v>220</v>
      </c>
      <c r="AP55" s="65">
        <v>909</v>
      </c>
      <c r="AQ55" s="70">
        <v>212</v>
      </c>
      <c r="AR55" s="70">
        <v>211</v>
      </c>
      <c r="AS55" s="70">
        <v>211</v>
      </c>
      <c r="AT55" s="70">
        <v>191</v>
      </c>
      <c r="AU55" s="65">
        <v>825</v>
      </c>
      <c r="AV55" s="70">
        <v>196</v>
      </c>
      <c r="AW55" s="70">
        <v>206</v>
      </c>
      <c r="AX55" s="70">
        <v>201</v>
      </c>
      <c r="AY55" s="70">
        <v>202</v>
      </c>
      <c r="AZ55" s="65">
        <v>805</v>
      </c>
      <c r="BA55" s="70">
        <v>192</v>
      </c>
      <c r="BB55" s="70">
        <v>196</v>
      </c>
      <c r="BC55" s="70">
        <v>197</v>
      </c>
      <c r="BD55" s="70">
        <v>204</v>
      </c>
      <c r="BE55" s="65">
        <v>789</v>
      </c>
    </row>
    <row r="56" spans="1:57" ht="10.199999999999999" customHeight="1">
      <c r="A56" s="71" t="s">
        <v>7</v>
      </c>
      <c r="B56" s="24"/>
      <c r="C56" s="95"/>
      <c r="D56" s="95"/>
      <c r="E56" s="95"/>
      <c r="F56" s="95"/>
      <c r="G56" s="24"/>
      <c r="H56" s="95"/>
      <c r="I56" s="95"/>
      <c r="J56" s="95"/>
      <c r="K56" s="95"/>
      <c r="L56" s="24"/>
      <c r="M56" s="95"/>
      <c r="N56" s="95"/>
      <c r="O56" s="95"/>
      <c r="P56" s="95"/>
      <c r="Q56" s="24"/>
      <c r="R56" s="72"/>
      <c r="S56" s="72">
        <f>S55/R55-1</f>
        <v>9.009009009008917E-3</v>
      </c>
      <c r="T56" s="72">
        <f>T55/S55-1</f>
        <v>8.0357142857142794E-2</v>
      </c>
      <c r="U56" s="72">
        <f>U55/T55-1</f>
        <v>-8.2644628099173501E-2</v>
      </c>
      <c r="V56" s="24"/>
      <c r="W56" s="72">
        <f>W55/U55-1</f>
        <v>9.009009009008917E-3</v>
      </c>
      <c r="X56" s="72">
        <f>X55/W55-1</f>
        <v>-8.9285714285713969E-3</v>
      </c>
      <c r="Y56" s="72">
        <f>Y55/X55-1</f>
        <v>3.1531531531531432E-2</v>
      </c>
      <c r="Z56" s="72">
        <f>Z55/Y55-1</f>
        <v>-1.7467248908296984E-2</v>
      </c>
      <c r="AA56" s="24"/>
      <c r="AB56" s="72">
        <f>AB55/Z55-1</f>
        <v>-4.4444444444444731E-3</v>
      </c>
      <c r="AC56" s="72">
        <f>AC55/AB55-1</f>
        <v>1.7857142857142794E-2</v>
      </c>
      <c r="AD56" s="72">
        <f>AD55/AC55-1</f>
        <v>1.7543859649122862E-2</v>
      </c>
      <c r="AE56" s="72">
        <f>AE55/AD55-1</f>
        <v>-4.7413793103448287E-2</v>
      </c>
      <c r="AF56" s="24"/>
      <c r="AG56" s="72">
        <v>-6.7873303167420795E-2</v>
      </c>
      <c r="AH56" s="72">
        <v>9.7087378640776656E-3</v>
      </c>
      <c r="AI56" s="72">
        <v>5.2884615384615419E-2</v>
      </c>
      <c r="AJ56" s="72">
        <v>-2.2831050228310557E-2</v>
      </c>
      <c r="AK56" s="24"/>
      <c r="AL56" s="72">
        <v>-9.3457943925233655E-3</v>
      </c>
      <c r="AM56" s="72">
        <v>0.1367924528301887</v>
      </c>
      <c r="AN56" s="72">
        <v>-2.0746887966805017E-2</v>
      </c>
      <c r="AO56" s="72">
        <v>-6.7796610169491567E-2</v>
      </c>
      <c r="AP56" s="24"/>
      <c r="AQ56" s="72">
        <v>-3.6363636363636376E-2</v>
      </c>
      <c r="AR56" s="72">
        <v>-4.7169811320755262E-3</v>
      </c>
      <c r="AS56" s="72">
        <v>0</v>
      </c>
      <c r="AT56" s="72">
        <v>-9.4786729857819885E-2</v>
      </c>
      <c r="AU56" s="24"/>
      <c r="AV56" s="72">
        <v>2.6178010471204161E-2</v>
      </c>
      <c r="AW56" s="72">
        <v>5.1020408163265252E-2</v>
      </c>
      <c r="AX56" s="72">
        <v>-2.4271844660194164E-2</v>
      </c>
      <c r="AY56" s="72">
        <v>4.9751243781095411E-3</v>
      </c>
      <c r="AZ56" s="24"/>
      <c r="BA56" s="72">
        <v>-4.9504950495049549E-2</v>
      </c>
      <c r="BB56" s="72">
        <v>2.0833333333333259E-2</v>
      </c>
      <c r="BC56" s="72">
        <v>5.1020408163264808E-3</v>
      </c>
      <c r="BD56" s="72">
        <v>3.5532994923857864E-2</v>
      </c>
      <c r="BE56" s="24"/>
    </row>
    <row r="57" spans="1:57" ht="15.6" customHeight="1">
      <c r="A57" s="71" t="s">
        <v>8</v>
      </c>
      <c r="B57" s="24"/>
      <c r="C57" s="95"/>
      <c r="D57" s="95"/>
      <c r="E57" s="95"/>
      <c r="F57" s="95"/>
      <c r="G57" s="24"/>
      <c r="H57" s="95"/>
      <c r="I57" s="95"/>
      <c r="J57" s="95"/>
      <c r="K57" s="95"/>
      <c r="L57" s="24"/>
      <c r="M57" s="95"/>
      <c r="N57" s="95"/>
      <c r="O57" s="95"/>
      <c r="P57" s="95"/>
      <c r="Q57" s="24">
        <f>Q55/L55-1</f>
        <v>6.4699205448354169E-2</v>
      </c>
      <c r="R57" s="73"/>
      <c r="S57" s="73"/>
      <c r="T57" s="73"/>
      <c r="U57" s="73"/>
      <c r="V57" s="24">
        <f t="shared" ref="V57:AD57" si="65">V55/Q55-1</f>
        <v>-0.5149253731343284</v>
      </c>
      <c r="W57" s="73">
        <f t="shared" si="65"/>
        <v>9.009009009008917E-3</v>
      </c>
      <c r="X57" s="73">
        <f t="shared" si="65"/>
        <v>-8.9285714285713969E-3</v>
      </c>
      <c r="Y57" s="73">
        <f t="shared" si="65"/>
        <v>-5.3719008264462853E-2</v>
      </c>
      <c r="Z57" s="73">
        <f t="shared" si="65"/>
        <v>1.3513513513513598E-2</v>
      </c>
      <c r="AA57" s="24">
        <f t="shared" si="65"/>
        <v>-1.098901098901095E-2</v>
      </c>
      <c r="AB57" s="73">
        <f t="shared" si="65"/>
        <v>0</v>
      </c>
      <c r="AC57" s="73">
        <f t="shared" si="65"/>
        <v>2.7027027027026973E-2</v>
      </c>
      <c r="AD57" s="73">
        <f t="shared" si="65"/>
        <v>1.3100436681222627E-2</v>
      </c>
      <c r="AE57" s="73">
        <f t="shared" ref="AE57" si="66">AE55/Z55-1</f>
        <v>-1.7777777777777781E-2</v>
      </c>
      <c r="AF57" s="24">
        <v>5.5555555555555358E-3</v>
      </c>
      <c r="AG57" s="73">
        <v>-8.0357142857142905E-2</v>
      </c>
      <c r="AH57" s="73">
        <v>-8.7719298245614086E-2</v>
      </c>
      <c r="AI57" s="73">
        <v>-5.6034482758620663E-2</v>
      </c>
      <c r="AJ57" s="73">
        <v>-3.1674208144796379E-2</v>
      </c>
      <c r="AK57" s="24">
        <v>-6.4088397790055263E-2</v>
      </c>
      <c r="AL57" s="73">
        <v>2.9126213592232997E-2</v>
      </c>
      <c r="AM57" s="73">
        <v>0.15865384615384626</v>
      </c>
      <c r="AN57" s="73">
        <v>7.7625570776255648E-2</v>
      </c>
      <c r="AO57" s="73">
        <v>2.8037383177569986E-2</v>
      </c>
      <c r="AP57" s="24">
        <v>7.3199527744982396E-2</v>
      </c>
      <c r="AQ57" s="73">
        <v>0</v>
      </c>
      <c r="AR57" s="73">
        <v>-0.12448132780082988</v>
      </c>
      <c r="AS57" s="73">
        <v>-0.10593220338983056</v>
      </c>
      <c r="AT57" s="73">
        <v>-0.13181818181818183</v>
      </c>
      <c r="AU57" s="24">
        <v>-9.2409240924092417E-2</v>
      </c>
      <c r="AV57" s="73">
        <v>-7.547169811320753E-2</v>
      </c>
      <c r="AW57" s="73">
        <v>-2.3696682464454999E-2</v>
      </c>
      <c r="AX57" s="73">
        <v>-4.7393364928909998E-2</v>
      </c>
      <c r="AY57" s="73">
        <v>5.7591623036649109E-2</v>
      </c>
      <c r="AZ57" s="24">
        <v>-2.4242424242424288E-2</v>
      </c>
      <c r="BA57" s="73">
        <v>-2.0408163265306145E-2</v>
      </c>
      <c r="BB57" s="73">
        <v>-4.8543689320388328E-2</v>
      </c>
      <c r="BC57" s="73">
        <v>-1.9900497512437831E-2</v>
      </c>
      <c r="BD57" s="73">
        <v>9.9009900990099098E-3</v>
      </c>
      <c r="BE57" s="24">
        <v>-1.9875776397515477E-2</v>
      </c>
    </row>
    <row r="58" spans="1:57" ht="13.5" customHeight="1">
      <c r="A58" s="69" t="s">
        <v>90</v>
      </c>
      <c r="B58" s="123" t="s">
        <v>44</v>
      </c>
      <c r="C58" s="80" t="s">
        <v>52</v>
      </c>
      <c r="D58" s="80" t="s">
        <v>52</v>
      </c>
      <c r="E58" s="80" t="s">
        <v>52</v>
      </c>
      <c r="F58" s="80" t="s">
        <v>52</v>
      </c>
      <c r="G58" s="123" t="s">
        <v>44</v>
      </c>
      <c r="H58" s="80" t="s">
        <v>52</v>
      </c>
      <c r="I58" s="80" t="s">
        <v>52</v>
      </c>
      <c r="J58" s="80" t="s">
        <v>52</v>
      </c>
      <c r="K58" s="80" t="s">
        <v>52</v>
      </c>
      <c r="L58" s="65">
        <v>647</v>
      </c>
      <c r="M58" s="80" t="s">
        <v>52</v>
      </c>
      <c r="N58" s="80" t="s">
        <v>52</v>
      </c>
      <c r="O58" s="80" t="s">
        <v>52</v>
      </c>
      <c r="P58" s="80" t="s">
        <v>52</v>
      </c>
      <c r="Q58" s="65">
        <v>640</v>
      </c>
      <c r="R58" s="70">
        <v>161</v>
      </c>
      <c r="S58" s="70">
        <v>159</v>
      </c>
      <c r="T58" s="70">
        <v>160</v>
      </c>
      <c r="U58" s="70">
        <f>V58-T58-S58-R58</f>
        <v>161</v>
      </c>
      <c r="V58" s="65">
        <v>641</v>
      </c>
      <c r="W58" s="70">
        <v>162</v>
      </c>
      <c r="X58" s="70">
        <v>158</v>
      </c>
      <c r="Y58" s="70">
        <v>169</v>
      </c>
      <c r="Z58" s="70">
        <f>AA58-Y58-X58-W58</f>
        <v>174</v>
      </c>
      <c r="AA58" s="65">
        <v>663</v>
      </c>
      <c r="AB58" s="70">
        <v>161</v>
      </c>
      <c r="AC58" s="70">
        <v>127</v>
      </c>
      <c r="AD58" s="70">
        <v>168</v>
      </c>
      <c r="AE58" s="70">
        <f>AF58-AD58-AC58-AB58</f>
        <v>151</v>
      </c>
      <c r="AF58" s="65">
        <v>607</v>
      </c>
      <c r="AG58" s="70">
        <v>156</v>
      </c>
      <c r="AH58" s="70">
        <v>156</v>
      </c>
      <c r="AI58" s="70">
        <v>163</v>
      </c>
      <c r="AJ58" s="70">
        <v>164</v>
      </c>
      <c r="AK58" s="65">
        <v>639</v>
      </c>
      <c r="AL58" s="70">
        <v>150</v>
      </c>
      <c r="AM58" s="70">
        <v>156</v>
      </c>
      <c r="AN58" s="70">
        <v>161</v>
      </c>
      <c r="AO58" s="70">
        <v>149</v>
      </c>
      <c r="AP58" s="65">
        <v>616</v>
      </c>
      <c r="AQ58" s="70">
        <v>154</v>
      </c>
      <c r="AR58" s="70">
        <v>145</v>
      </c>
      <c r="AS58" s="70">
        <v>151</v>
      </c>
      <c r="AT58" s="70">
        <v>155</v>
      </c>
      <c r="AU58" s="65">
        <v>605</v>
      </c>
      <c r="AV58" s="70">
        <v>147</v>
      </c>
      <c r="AW58" s="70">
        <v>138</v>
      </c>
      <c r="AX58" s="70">
        <v>152</v>
      </c>
      <c r="AY58" s="70">
        <v>147</v>
      </c>
      <c r="AZ58" s="65">
        <v>584</v>
      </c>
      <c r="BA58" s="70">
        <v>71</v>
      </c>
      <c r="BB58" s="70">
        <v>68</v>
      </c>
      <c r="BC58" s="70">
        <v>74</v>
      </c>
      <c r="BD58" s="70">
        <v>73</v>
      </c>
      <c r="BE58" s="65">
        <v>286</v>
      </c>
    </row>
    <row r="59" spans="1:57" ht="10.5" customHeight="1">
      <c r="A59" s="71" t="s">
        <v>7</v>
      </c>
      <c r="B59" s="24"/>
      <c r="C59" s="95"/>
      <c r="D59" s="95"/>
      <c r="E59" s="95"/>
      <c r="F59" s="95"/>
      <c r="G59" s="24"/>
      <c r="H59" s="95"/>
      <c r="I59" s="95"/>
      <c r="J59" s="95"/>
      <c r="K59" s="95"/>
      <c r="L59" s="24"/>
      <c r="M59" s="95"/>
      <c r="N59" s="95"/>
      <c r="O59" s="95"/>
      <c r="P59" s="95"/>
      <c r="Q59" s="24"/>
      <c r="R59" s="72"/>
      <c r="S59" s="72">
        <f>S58/R58-1</f>
        <v>-1.2422360248447228E-2</v>
      </c>
      <c r="T59" s="72">
        <f>T58/S58-1</f>
        <v>6.2893081761006275E-3</v>
      </c>
      <c r="U59" s="72">
        <f>U58/T58-1</f>
        <v>6.2500000000000888E-3</v>
      </c>
      <c r="V59" s="24"/>
      <c r="W59" s="72">
        <f>W58/U58-1</f>
        <v>6.2111801242235032E-3</v>
      </c>
      <c r="X59" s="72">
        <f>X58/W58-1</f>
        <v>-2.4691358024691357E-2</v>
      </c>
      <c r="Y59" s="72">
        <f>Y58/X58-1</f>
        <v>6.9620253164556889E-2</v>
      </c>
      <c r="Z59" s="72">
        <f>Z58/Y58-1</f>
        <v>2.9585798816567976E-2</v>
      </c>
      <c r="AA59" s="24"/>
      <c r="AB59" s="72">
        <f>AB58/Z58-1</f>
        <v>-7.4712643678160884E-2</v>
      </c>
      <c r="AC59" s="72">
        <f>AC58/AB58-1</f>
        <v>-0.21118012422360244</v>
      </c>
      <c r="AD59" s="72">
        <f>AD58/AC58-1</f>
        <v>0.32283464566929143</v>
      </c>
      <c r="AE59" s="72">
        <f>AE58/AD58-1</f>
        <v>-0.10119047619047616</v>
      </c>
      <c r="AF59" s="24"/>
      <c r="AG59" s="72">
        <v>3.3112582781456901E-2</v>
      </c>
      <c r="AH59" s="72">
        <v>0</v>
      </c>
      <c r="AI59" s="72">
        <v>4.4871794871794934E-2</v>
      </c>
      <c r="AJ59" s="72">
        <v>6.1349693251533388E-3</v>
      </c>
      <c r="AK59" s="24"/>
      <c r="AL59" s="72">
        <v>-8.536585365853655E-2</v>
      </c>
      <c r="AM59" s="72">
        <v>4.0000000000000036E-2</v>
      </c>
      <c r="AN59" s="72">
        <v>3.2051282051282159E-2</v>
      </c>
      <c r="AO59" s="72">
        <v>-7.4534161490683259E-2</v>
      </c>
      <c r="AP59" s="24"/>
      <c r="AQ59" s="72">
        <v>3.3557046979865834E-2</v>
      </c>
      <c r="AR59" s="72">
        <v>-5.8441558441558406E-2</v>
      </c>
      <c r="AS59" s="72">
        <v>4.1379310344827669E-2</v>
      </c>
      <c r="AT59" s="72">
        <v>2.6490066225165476E-2</v>
      </c>
      <c r="AU59" s="24"/>
      <c r="AV59" s="72">
        <v>-5.1612903225806472E-2</v>
      </c>
      <c r="AW59" s="72">
        <v>-6.1224489795918324E-2</v>
      </c>
      <c r="AX59" s="72">
        <v>0.10144927536231885</v>
      </c>
      <c r="AY59" s="72">
        <v>-3.289473684210531E-2</v>
      </c>
      <c r="AZ59" s="24"/>
      <c r="BA59" s="72">
        <v>-0.51700680272108845</v>
      </c>
      <c r="BB59" s="72">
        <v>-4.2253521126760618E-2</v>
      </c>
      <c r="BC59" s="72">
        <v>8.8235294117646967E-2</v>
      </c>
      <c r="BD59" s="72">
        <v>-1.3513513513513487E-2</v>
      </c>
      <c r="BE59" s="24"/>
    </row>
    <row r="60" spans="1:57" ht="11.7" customHeight="1">
      <c r="A60" s="71" t="s">
        <v>8</v>
      </c>
      <c r="B60" s="24"/>
      <c r="C60" s="95"/>
      <c r="D60" s="95"/>
      <c r="E60" s="95"/>
      <c r="F60" s="95"/>
      <c r="G60" s="24"/>
      <c r="H60" s="95"/>
      <c r="I60" s="95"/>
      <c r="J60" s="95"/>
      <c r="K60" s="95"/>
      <c r="L60" s="24"/>
      <c r="M60" s="95"/>
      <c r="N60" s="95"/>
      <c r="O60" s="95"/>
      <c r="P60" s="95"/>
      <c r="Q60" s="24">
        <f>Q58/L58-1</f>
        <v>-1.0819165378670781E-2</v>
      </c>
      <c r="R60" s="73"/>
      <c r="S60" s="73"/>
      <c r="T60" s="73"/>
      <c r="U60" s="73"/>
      <c r="V60" s="24">
        <f t="shared" ref="V60:AD60" si="67">V58/Q58-1</f>
        <v>1.5624999999999112E-3</v>
      </c>
      <c r="W60" s="73">
        <f t="shared" si="67"/>
        <v>6.2111801242235032E-3</v>
      </c>
      <c r="X60" s="73">
        <f t="shared" si="67"/>
        <v>-6.2893081761006275E-3</v>
      </c>
      <c r="Y60" s="73">
        <f t="shared" si="67"/>
        <v>5.6249999999999911E-2</v>
      </c>
      <c r="Z60" s="73">
        <f t="shared" si="67"/>
        <v>8.0745341614906874E-2</v>
      </c>
      <c r="AA60" s="24">
        <f t="shared" si="67"/>
        <v>3.4321372854914101E-2</v>
      </c>
      <c r="AB60" s="73">
        <f t="shared" si="67"/>
        <v>-6.1728395061728669E-3</v>
      </c>
      <c r="AC60" s="73">
        <f t="shared" si="67"/>
        <v>-0.19620253164556967</v>
      </c>
      <c r="AD60" s="73">
        <f t="shared" si="67"/>
        <v>-5.9171597633136397E-3</v>
      </c>
      <c r="AE60" s="73">
        <f t="shared" ref="AE60" si="68">AE58/Z58-1</f>
        <v>-0.13218390804597702</v>
      </c>
      <c r="AF60" s="24">
        <v>-8.446455505279038E-2</v>
      </c>
      <c r="AG60" s="73">
        <v>-3.105590062111796E-2</v>
      </c>
      <c r="AH60" s="73">
        <v>0.22834645669291342</v>
      </c>
      <c r="AI60" s="73">
        <v>-2.9761904761904767E-2</v>
      </c>
      <c r="AJ60" s="73">
        <v>8.6092715231788075E-2</v>
      </c>
      <c r="AK60" s="24">
        <v>5.2718286655683677E-2</v>
      </c>
      <c r="AL60" s="73">
        <v>-3.8461538461538436E-2</v>
      </c>
      <c r="AM60" s="73">
        <v>0</v>
      </c>
      <c r="AN60" s="73">
        <v>-1.2269938650306789E-2</v>
      </c>
      <c r="AO60" s="73">
        <v>-9.1463414634146312E-2</v>
      </c>
      <c r="AP60" s="24">
        <v>-3.5993740219092296E-2</v>
      </c>
      <c r="AQ60" s="73">
        <v>2.6666666666666616E-2</v>
      </c>
      <c r="AR60" s="73">
        <v>-7.0512820512820484E-2</v>
      </c>
      <c r="AS60" s="73">
        <v>-6.2111801242236031E-2</v>
      </c>
      <c r="AT60" s="73">
        <v>4.0268456375838868E-2</v>
      </c>
      <c r="AU60" s="24">
        <v>-1.7857142857142905E-2</v>
      </c>
      <c r="AV60" s="73">
        <v>-4.5454545454545414E-2</v>
      </c>
      <c r="AW60" s="73">
        <v>-4.8275862068965503E-2</v>
      </c>
      <c r="AX60" s="73">
        <v>6.6225165562914245E-3</v>
      </c>
      <c r="AY60" s="73">
        <v>-5.1612903225806472E-2</v>
      </c>
      <c r="AZ60" s="24">
        <v>-3.4710743801652844E-2</v>
      </c>
      <c r="BA60" s="73">
        <v>-0.51700680272108845</v>
      </c>
      <c r="BB60" s="73">
        <v>-0.50724637681159424</v>
      </c>
      <c r="BC60" s="73">
        <v>-0.51315789473684204</v>
      </c>
      <c r="BD60" s="73">
        <v>-0.50340136054421769</v>
      </c>
      <c r="BE60" s="24">
        <v>-0.51027397260273966</v>
      </c>
    </row>
    <row r="61" spans="1:57" ht="13.5" customHeight="1">
      <c r="A61" s="69" t="s">
        <v>101</v>
      </c>
      <c r="B61" s="123" t="s">
        <v>44</v>
      </c>
      <c r="C61" s="80" t="s">
        <v>52</v>
      </c>
      <c r="D61" s="80" t="s">
        <v>52</v>
      </c>
      <c r="E61" s="80" t="s">
        <v>52</v>
      </c>
      <c r="F61" s="80" t="s">
        <v>52</v>
      </c>
      <c r="G61" s="123" t="s">
        <v>44</v>
      </c>
      <c r="H61" s="80" t="s">
        <v>52</v>
      </c>
      <c r="I61" s="80" t="s">
        <v>52</v>
      </c>
      <c r="J61" s="80" t="s">
        <v>52</v>
      </c>
      <c r="K61" s="80" t="s">
        <v>52</v>
      </c>
      <c r="L61" s="65">
        <v>626</v>
      </c>
      <c r="M61" s="80" t="s">
        <v>52</v>
      </c>
      <c r="N61" s="80" t="s">
        <v>52</v>
      </c>
      <c r="O61" s="80" t="s">
        <v>52</v>
      </c>
      <c r="P61" s="80" t="s">
        <v>52</v>
      </c>
      <c r="Q61" s="65">
        <v>622</v>
      </c>
      <c r="R61" s="70">
        <v>156</v>
      </c>
      <c r="S61" s="70">
        <v>158</v>
      </c>
      <c r="T61" s="70">
        <v>177</v>
      </c>
      <c r="U61" s="70">
        <f>V61-T61-S61-R61</f>
        <v>164</v>
      </c>
      <c r="V61" s="65">
        <v>655</v>
      </c>
      <c r="W61" s="70">
        <v>122</v>
      </c>
      <c r="X61" s="70">
        <v>152</v>
      </c>
      <c r="Y61" s="70">
        <v>156</v>
      </c>
      <c r="Z61" s="70">
        <f>AA61-Y61-X61-W61</f>
        <v>126</v>
      </c>
      <c r="AA61" s="65">
        <v>556</v>
      </c>
      <c r="AB61" s="70">
        <v>140</v>
      </c>
      <c r="AC61" s="70">
        <v>126</v>
      </c>
      <c r="AD61" s="70">
        <v>126</v>
      </c>
      <c r="AE61" s="70">
        <f>AF61-AD61-AC61-AB61</f>
        <v>171</v>
      </c>
      <c r="AF61" s="65">
        <v>563</v>
      </c>
      <c r="AG61" s="70">
        <v>153</v>
      </c>
      <c r="AH61" s="70">
        <v>153</v>
      </c>
      <c r="AI61" s="70">
        <v>152</v>
      </c>
      <c r="AJ61" s="70">
        <v>145</v>
      </c>
      <c r="AK61" s="65">
        <v>603</v>
      </c>
      <c r="AL61" s="70">
        <v>129</v>
      </c>
      <c r="AM61" s="70">
        <v>160</v>
      </c>
      <c r="AN61" s="70">
        <v>164</v>
      </c>
      <c r="AO61" s="70">
        <v>187</v>
      </c>
      <c r="AP61" s="65">
        <v>640</v>
      </c>
      <c r="AQ61" s="70">
        <v>177</v>
      </c>
      <c r="AR61" s="70">
        <v>168</v>
      </c>
      <c r="AS61" s="70">
        <v>180</v>
      </c>
      <c r="AT61" s="70">
        <v>172</v>
      </c>
      <c r="AU61" s="65">
        <v>697</v>
      </c>
      <c r="AV61" s="70">
        <v>144</v>
      </c>
      <c r="AW61" s="70">
        <v>134</v>
      </c>
      <c r="AX61" s="70">
        <v>159</v>
      </c>
      <c r="AY61" s="70">
        <v>158</v>
      </c>
      <c r="AZ61" s="65">
        <v>595</v>
      </c>
      <c r="BA61" s="70">
        <v>145</v>
      </c>
      <c r="BB61" s="70">
        <v>146</v>
      </c>
      <c r="BC61" s="70">
        <v>135</v>
      </c>
      <c r="BD61" s="70">
        <v>129</v>
      </c>
      <c r="BE61" s="65">
        <v>555</v>
      </c>
    </row>
    <row r="62" spans="1:57" ht="9.75" customHeight="1">
      <c r="A62" s="71" t="s">
        <v>7</v>
      </c>
      <c r="B62" s="24"/>
      <c r="C62" s="95"/>
      <c r="D62" s="95"/>
      <c r="E62" s="95"/>
      <c r="F62" s="95"/>
      <c r="G62" s="24"/>
      <c r="H62" s="95"/>
      <c r="I62" s="95"/>
      <c r="J62" s="95"/>
      <c r="K62" s="95"/>
      <c r="L62" s="24"/>
      <c r="M62" s="95"/>
      <c r="N62" s="95"/>
      <c r="O62" s="95"/>
      <c r="P62" s="95"/>
      <c r="Q62" s="24"/>
      <c r="R62" s="72"/>
      <c r="S62" s="72">
        <f>S61/R61-1</f>
        <v>1.2820512820512775E-2</v>
      </c>
      <c r="T62" s="72">
        <f>T61/S61-1</f>
        <v>0.120253164556962</v>
      </c>
      <c r="U62" s="72">
        <f>U61/T61-1</f>
        <v>-7.3446327683615809E-2</v>
      </c>
      <c r="V62" s="24"/>
      <c r="W62" s="72">
        <f>W61/U61-1</f>
        <v>-0.25609756097560976</v>
      </c>
      <c r="X62" s="72">
        <f>X61/W61-1</f>
        <v>0.24590163934426235</v>
      </c>
      <c r="Y62" s="72">
        <f>Y61/X61-1</f>
        <v>2.6315789473684292E-2</v>
      </c>
      <c r="Z62" s="72">
        <f>Z61/Y61-1</f>
        <v>-0.19230769230769229</v>
      </c>
      <c r="AA62" s="24"/>
      <c r="AB62" s="72">
        <f>AB61/Z61-1</f>
        <v>0.11111111111111116</v>
      </c>
      <c r="AC62" s="72">
        <f>AC61/AB61-1</f>
        <v>-9.9999999999999978E-2</v>
      </c>
      <c r="AD62" s="72">
        <f>AD61/AC61-1</f>
        <v>0</v>
      </c>
      <c r="AE62" s="72">
        <f>AE61/AD61-1</f>
        <v>0.35714285714285721</v>
      </c>
      <c r="AF62" s="24"/>
      <c r="AG62" s="72">
        <v>-0.10526315789473684</v>
      </c>
      <c r="AH62" s="72">
        <v>0</v>
      </c>
      <c r="AI62" s="72">
        <v>-6.5359477124182774E-3</v>
      </c>
      <c r="AJ62" s="72">
        <v>-4.6052631578947345E-2</v>
      </c>
      <c r="AK62" s="24"/>
      <c r="AL62" s="72">
        <v>-0.1103448275862069</v>
      </c>
      <c r="AM62" s="72">
        <v>0.24031007751937983</v>
      </c>
      <c r="AN62" s="72">
        <v>2.4999999999999911E-2</v>
      </c>
      <c r="AO62" s="72">
        <v>0.14024390243902429</v>
      </c>
      <c r="AP62" s="24"/>
      <c r="AQ62" s="72">
        <v>-5.3475935828876997E-2</v>
      </c>
      <c r="AR62" s="72">
        <v>-5.084745762711862E-2</v>
      </c>
      <c r="AS62" s="72">
        <v>7.1428571428571397E-2</v>
      </c>
      <c r="AT62" s="72">
        <v>-4.4444444444444398E-2</v>
      </c>
      <c r="AU62" s="24"/>
      <c r="AV62" s="72">
        <v>-0.16279069767441856</v>
      </c>
      <c r="AW62" s="72">
        <v>-6.944444444444442E-2</v>
      </c>
      <c r="AX62" s="72">
        <v>0.18656716417910446</v>
      </c>
      <c r="AY62" s="72">
        <v>-6.2893081761006275E-3</v>
      </c>
      <c r="AZ62" s="24"/>
      <c r="BA62" s="72">
        <v>-8.2278481012658222E-2</v>
      </c>
      <c r="BB62" s="72">
        <v>6.8965517241379448E-3</v>
      </c>
      <c r="BC62" s="72">
        <v>-7.5342465753424626E-2</v>
      </c>
      <c r="BD62" s="72">
        <v>-4.4444444444444398E-2</v>
      </c>
      <c r="BE62" s="24"/>
    </row>
    <row r="63" spans="1:57" ht="12.75" customHeight="1">
      <c r="A63" s="71" t="s">
        <v>8</v>
      </c>
      <c r="B63" s="24"/>
      <c r="C63" s="95"/>
      <c r="D63" s="95"/>
      <c r="E63" s="95"/>
      <c r="F63" s="95"/>
      <c r="G63" s="24"/>
      <c r="H63" s="95"/>
      <c r="I63" s="95"/>
      <c r="J63" s="95"/>
      <c r="K63" s="95"/>
      <c r="L63" s="24"/>
      <c r="M63" s="95"/>
      <c r="N63" s="95"/>
      <c r="O63" s="95"/>
      <c r="P63" s="95"/>
      <c r="Q63" s="24">
        <f>Q61/L61-1</f>
        <v>-6.389776357827448E-3</v>
      </c>
      <c r="R63" s="73"/>
      <c r="S63" s="73"/>
      <c r="T63" s="73"/>
      <c r="U63" s="73"/>
      <c r="V63" s="24">
        <f t="shared" ref="V63:AD63" si="69">V61/Q61-1</f>
        <v>5.3054662379421247E-2</v>
      </c>
      <c r="W63" s="73">
        <f t="shared" si="69"/>
        <v>-0.21794871794871795</v>
      </c>
      <c r="X63" s="73">
        <f t="shared" si="69"/>
        <v>-3.7974683544303778E-2</v>
      </c>
      <c r="Y63" s="73">
        <f t="shared" si="69"/>
        <v>-0.11864406779661019</v>
      </c>
      <c r="Z63" s="73">
        <f t="shared" si="69"/>
        <v>-0.23170731707317072</v>
      </c>
      <c r="AA63" s="24">
        <f t="shared" si="69"/>
        <v>-0.15114503816793889</v>
      </c>
      <c r="AB63" s="73">
        <f t="shared" si="69"/>
        <v>0.14754098360655732</v>
      </c>
      <c r="AC63" s="73">
        <f t="shared" si="69"/>
        <v>-0.17105263157894735</v>
      </c>
      <c r="AD63" s="73">
        <f t="shared" si="69"/>
        <v>-0.19230769230769229</v>
      </c>
      <c r="AE63" s="73">
        <f t="shared" ref="AE63" si="70">AE61/Z61-1</f>
        <v>0.35714285714285721</v>
      </c>
      <c r="AF63" s="24">
        <v>1.2589928057553879E-2</v>
      </c>
      <c r="AG63" s="73">
        <v>9.2857142857142749E-2</v>
      </c>
      <c r="AH63" s="73">
        <v>0.21428571428571419</v>
      </c>
      <c r="AI63" s="73">
        <v>0.20634920634920628</v>
      </c>
      <c r="AJ63" s="73">
        <v>-0.15204678362573099</v>
      </c>
      <c r="AK63" s="24">
        <v>7.104795737122549E-2</v>
      </c>
      <c r="AL63" s="73">
        <v>-0.15686274509803921</v>
      </c>
      <c r="AM63" s="73">
        <v>4.5751633986928164E-2</v>
      </c>
      <c r="AN63" s="73">
        <v>7.8947368421052655E-2</v>
      </c>
      <c r="AO63" s="73">
        <v>0.28965517241379302</v>
      </c>
      <c r="AP63" s="24">
        <v>6.1359867330016638E-2</v>
      </c>
      <c r="AQ63" s="73">
        <v>0.37209302325581395</v>
      </c>
      <c r="AR63" s="73">
        <v>5.0000000000000044E-2</v>
      </c>
      <c r="AS63" s="73">
        <v>9.7560975609756184E-2</v>
      </c>
      <c r="AT63" s="73">
        <v>-8.0213903743315496E-2</v>
      </c>
      <c r="AU63" s="24">
        <v>8.9062500000000044E-2</v>
      </c>
      <c r="AV63" s="73">
        <v>-0.18644067796610164</v>
      </c>
      <c r="AW63" s="73">
        <v>-0.20238095238095233</v>
      </c>
      <c r="AX63" s="73">
        <v>-0.1166666666666667</v>
      </c>
      <c r="AY63" s="73">
        <v>-8.1395348837209336E-2</v>
      </c>
      <c r="AZ63" s="24">
        <v>-0.14634146341463417</v>
      </c>
      <c r="BA63" s="73">
        <v>6.9444444444444198E-3</v>
      </c>
      <c r="BB63" s="73">
        <v>8.9552238805970186E-2</v>
      </c>
      <c r="BC63" s="73">
        <v>-0.15094339622641506</v>
      </c>
      <c r="BD63" s="73">
        <v>-0.18354430379746833</v>
      </c>
      <c r="BE63" s="24">
        <v>-6.7226890756302504E-2</v>
      </c>
    </row>
    <row r="64" spans="1:57" ht="13.5" customHeight="1">
      <c r="A64" s="69" t="s">
        <v>91</v>
      </c>
      <c r="B64" s="123" t="s">
        <v>44</v>
      </c>
      <c r="C64" s="80" t="s">
        <v>52</v>
      </c>
      <c r="D64" s="80" t="s">
        <v>52</v>
      </c>
      <c r="E64" s="80" t="s">
        <v>52</v>
      </c>
      <c r="F64" s="80" t="s">
        <v>52</v>
      </c>
      <c r="G64" s="123" t="s">
        <v>44</v>
      </c>
      <c r="H64" s="80" t="s">
        <v>52</v>
      </c>
      <c r="I64" s="80" t="s">
        <v>52</v>
      </c>
      <c r="J64" s="80" t="s">
        <v>52</v>
      </c>
      <c r="K64" s="80" t="s">
        <v>52</v>
      </c>
      <c r="L64" s="65">
        <v>218</v>
      </c>
      <c r="M64" s="80" t="s">
        <v>52</v>
      </c>
      <c r="N64" s="80" t="s">
        <v>52</v>
      </c>
      <c r="O64" s="80" t="s">
        <v>52</v>
      </c>
      <c r="P64" s="80" t="s">
        <v>52</v>
      </c>
      <c r="Q64" s="65">
        <v>189</v>
      </c>
      <c r="R64" s="70">
        <v>46</v>
      </c>
      <c r="S64" s="70">
        <v>43</v>
      </c>
      <c r="T64" s="70">
        <v>42</v>
      </c>
      <c r="U64" s="70">
        <f>V64-T64-S64-R64</f>
        <v>39</v>
      </c>
      <c r="V64" s="65">
        <v>170</v>
      </c>
      <c r="W64" s="70">
        <v>43</v>
      </c>
      <c r="X64" s="70">
        <v>34</v>
      </c>
      <c r="Y64" s="70">
        <v>35</v>
      </c>
      <c r="Z64" s="70">
        <f>AA64-Y64-X64-W64</f>
        <v>46</v>
      </c>
      <c r="AA64" s="65">
        <v>158</v>
      </c>
      <c r="AB64" s="70">
        <v>38</v>
      </c>
      <c r="AC64" s="70">
        <v>36</v>
      </c>
      <c r="AD64" s="70">
        <v>33</v>
      </c>
      <c r="AE64" s="70">
        <f>AF64-AD64-AC64-AB64</f>
        <v>55</v>
      </c>
      <c r="AF64" s="65">
        <v>162</v>
      </c>
      <c r="AG64" s="70">
        <v>40</v>
      </c>
      <c r="AH64" s="70">
        <v>38</v>
      </c>
      <c r="AI64" s="70">
        <v>35</v>
      </c>
      <c r="AJ64" s="70">
        <v>24</v>
      </c>
      <c r="AK64" s="65">
        <v>137</v>
      </c>
      <c r="AL64" s="70">
        <v>34</v>
      </c>
      <c r="AM64" s="70">
        <v>55</v>
      </c>
      <c r="AN64" s="70">
        <v>52</v>
      </c>
      <c r="AO64" s="70">
        <v>58</v>
      </c>
      <c r="AP64" s="65">
        <v>199</v>
      </c>
      <c r="AQ64" s="70">
        <v>63</v>
      </c>
      <c r="AR64" s="70">
        <v>61</v>
      </c>
      <c r="AS64" s="70">
        <v>68</v>
      </c>
      <c r="AT64" s="70">
        <v>69</v>
      </c>
      <c r="AU64" s="65">
        <v>261</v>
      </c>
      <c r="AV64" s="70">
        <v>67</v>
      </c>
      <c r="AW64" s="70">
        <v>64</v>
      </c>
      <c r="AX64" s="70">
        <v>67</v>
      </c>
      <c r="AY64" s="70">
        <v>62</v>
      </c>
      <c r="AZ64" s="65">
        <v>260</v>
      </c>
      <c r="BA64" s="70">
        <v>71</v>
      </c>
      <c r="BB64" s="70">
        <v>68</v>
      </c>
      <c r="BC64" s="70">
        <v>68</v>
      </c>
      <c r="BD64" s="70">
        <v>70</v>
      </c>
      <c r="BE64" s="65">
        <v>277</v>
      </c>
    </row>
    <row r="65" spans="1:57" ht="9.75" customHeight="1">
      <c r="A65" s="71" t="s">
        <v>7</v>
      </c>
      <c r="B65" s="24"/>
      <c r="C65" s="95"/>
      <c r="D65" s="95"/>
      <c r="E65" s="95"/>
      <c r="F65" s="95"/>
      <c r="G65" s="24"/>
      <c r="H65" s="95"/>
      <c r="I65" s="95"/>
      <c r="J65" s="95"/>
      <c r="K65" s="95"/>
      <c r="L65" s="24"/>
      <c r="M65" s="95"/>
      <c r="N65" s="95"/>
      <c r="O65" s="95"/>
      <c r="P65" s="95"/>
      <c r="Q65" s="24"/>
      <c r="R65" s="72"/>
      <c r="S65" s="72">
        <f>S64/R64-1</f>
        <v>-6.5217391304347783E-2</v>
      </c>
      <c r="T65" s="72">
        <f>T64/S64-1</f>
        <v>-2.3255813953488413E-2</v>
      </c>
      <c r="U65" s="72">
        <f>U64/T64-1</f>
        <v>-7.1428571428571397E-2</v>
      </c>
      <c r="V65" s="24"/>
      <c r="W65" s="72">
        <f>W64/U64-1</f>
        <v>0.10256410256410264</v>
      </c>
      <c r="X65" s="72">
        <f>X64/W64-1</f>
        <v>-0.20930232558139539</v>
      </c>
      <c r="Y65" s="72">
        <f>Y64/X64-1</f>
        <v>2.9411764705882248E-2</v>
      </c>
      <c r="Z65" s="72">
        <f>Z64/Y64-1</f>
        <v>0.31428571428571428</v>
      </c>
      <c r="AA65" s="24"/>
      <c r="AB65" s="72">
        <f>AB64/Z64-1</f>
        <v>-0.17391304347826086</v>
      </c>
      <c r="AC65" s="72">
        <f>AC64/AB64-1</f>
        <v>-5.2631578947368474E-2</v>
      </c>
      <c r="AD65" s="72">
        <f>AD64/AC64-1</f>
        <v>-8.333333333333337E-2</v>
      </c>
      <c r="AE65" s="72">
        <f>AE64/AD64-1</f>
        <v>0.66666666666666674</v>
      </c>
      <c r="AF65" s="24"/>
      <c r="AG65" s="72">
        <v>-0.27272727272727271</v>
      </c>
      <c r="AH65" s="72">
        <v>-5.0000000000000044E-2</v>
      </c>
      <c r="AI65" s="72">
        <v>-7.8947368421052655E-2</v>
      </c>
      <c r="AJ65" s="72">
        <v>-0.31428571428571428</v>
      </c>
      <c r="AK65" s="24"/>
      <c r="AL65" s="72">
        <v>0.41666666666666674</v>
      </c>
      <c r="AM65" s="72">
        <v>0.61764705882352944</v>
      </c>
      <c r="AN65" s="72">
        <v>-5.4545454545454564E-2</v>
      </c>
      <c r="AO65" s="72">
        <v>0.11538461538461542</v>
      </c>
      <c r="AP65" s="24"/>
      <c r="AQ65" s="72">
        <v>8.6206896551724199E-2</v>
      </c>
      <c r="AR65" s="72">
        <v>-3.1746031746031744E-2</v>
      </c>
      <c r="AS65" s="72">
        <v>0.11475409836065564</v>
      </c>
      <c r="AT65" s="72">
        <v>1.4705882352941124E-2</v>
      </c>
      <c r="AU65" s="24"/>
      <c r="AV65" s="72">
        <v>-2.8985507246376829E-2</v>
      </c>
      <c r="AW65" s="72">
        <v>-4.4776119402985093E-2</v>
      </c>
      <c r="AX65" s="72">
        <v>4.6875E-2</v>
      </c>
      <c r="AY65" s="72">
        <v>-7.4626865671641784E-2</v>
      </c>
      <c r="AZ65" s="24"/>
      <c r="BA65" s="72">
        <v>0.14516129032258074</v>
      </c>
      <c r="BB65" s="72">
        <v>-4.2253521126760618E-2</v>
      </c>
      <c r="BC65" s="72">
        <v>0</v>
      </c>
      <c r="BD65" s="72">
        <v>2.9411764705882248E-2</v>
      </c>
      <c r="BE65" s="24"/>
    </row>
    <row r="66" spans="1:57" ht="13.2" customHeight="1">
      <c r="A66" s="71" t="s">
        <v>8</v>
      </c>
      <c r="B66" s="24"/>
      <c r="C66" s="95"/>
      <c r="D66" s="95"/>
      <c r="E66" s="95"/>
      <c r="F66" s="95"/>
      <c r="G66" s="24"/>
      <c r="H66" s="95"/>
      <c r="I66" s="95"/>
      <c r="J66" s="95"/>
      <c r="K66" s="95"/>
      <c r="L66" s="24"/>
      <c r="M66" s="95"/>
      <c r="N66" s="95"/>
      <c r="O66" s="95"/>
      <c r="P66" s="95"/>
      <c r="Q66" s="24">
        <f>Q64/L64-1</f>
        <v>-0.1330275229357798</v>
      </c>
      <c r="R66" s="73"/>
      <c r="S66" s="73"/>
      <c r="T66" s="73"/>
      <c r="U66" s="73"/>
      <c r="V66" s="24">
        <f t="shared" ref="V66:AD66" si="71">V64/Q64-1</f>
        <v>-0.10052910052910058</v>
      </c>
      <c r="W66" s="73">
        <f t="shared" si="71"/>
        <v>-6.5217391304347783E-2</v>
      </c>
      <c r="X66" s="73">
        <f t="shared" si="71"/>
        <v>-0.20930232558139539</v>
      </c>
      <c r="Y66" s="73">
        <f t="shared" si="71"/>
        <v>-0.16666666666666663</v>
      </c>
      <c r="Z66" s="73">
        <f t="shared" si="71"/>
        <v>0.17948717948717952</v>
      </c>
      <c r="AA66" s="24">
        <f t="shared" si="71"/>
        <v>-7.0588235294117618E-2</v>
      </c>
      <c r="AB66" s="73">
        <f t="shared" si="71"/>
        <v>-0.11627906976744184</v>
      </c>
      <c r="AC66" s="73">
        <f t="shared" si="71"/>
        <v>5.8823529411764719E-2</v>
      </c>
      <c r="AD66" s="73">
        <f t="shared" si="71"/>
        <v>-5.7142857142857162E-2</v>
      </c>
      <c r="AE66" s="73">
        <f t="shared" ref="AE66" si="72">AE64/Z64-1</f>
        <v>0.19565217391304346</v>
      </c>
      <c r="AF66" s="24">
        <v>2.5316455696202445E-2</v>
      </c>
      <c r="AG66" s="73">
        <v>5.2631578947368363E-2</v>
      </c>
      <c r="AH66" s="73">
        <v>5.555555555555558E-2</v>
      </c>
      <c r="AI66" s="73">
        <v>6.0606060606060552E-2</v>
      </c>
      <c r="AJ66" s="73">
        <v>-0.56363636363636371</v>
      </c>
      <c r="AK66" s="24">
        <v>-0.15432098765432101</v>
      </c>
      <c r="AL66" s="73">
        <v>-0.15000000000000002</v>
      </c>
      <c r="AM66" s="73">
        <v>0.44736842105263164</v>
      </c>
      <c r="AN66" s="73">
        <v>0.48571428571428577</v>
      </c>
      <c r="AO66" s="73">
        <v>1.4166666666666665</v>
      </c>
      <c r="AP66" s="24">
        <v>0.45255474452554734</v>
      </c>
      <c r="AQ66" s="73">
        <v>0.85294117647058831</v>
      </c>
      <c r="AR66" s="73">
        <v>0.10909090909090913</v>
      </c>
      <c r="AS66" s="73">
        <v>0.30769230769230771</v>
      </c>
      <c r="AT66" s="73">
        <v>0.18965517241379315</v>
      </c>
      <c r="AU66" s="24">
        <v>0.31155778894472363</v>
      </c>
      <c r="AV66" s="73">
        <v>6.3492063492063489E-2</v>
      </c>
      <c r="AW66" s="73">
        <v>4.9180327868852514E-2</v>
      </c>
      <c r="AX66" s="73">
        <v>-1.4705882352941124E-2</v>
      </c>
      <c r="AY66" s="73">
        <v>-0.10144927536231885</v>
      </c>
      <c r="AZ66" s="24">
        <v>-3.8314176245211051E-3</v>
      </c>
      <c r="BA66" s="73">
        <v>5.9701492537313383E-2</v>
      </c>
      <c r="BB66" s="73">
        <v>6.25E-2</v>
      </c>
      <c r="BC66" s="73">
        <v>1.4925373134328401E-2</v>
      </c>
      <c r="BD66" s="73">
        <v>0.12903225806451624</v>
      </c>
      <c r="BE66" s="24">
        <v>6.5384615384615374E-2</v>
      </c>
    </row>
    <row r="67" spans="1:57" ht="11.25" customHeight="1">
      <c r="A67" s="69" t="s">
        <v>100</v>
      </c>
      <c r="B67" s="123" t="s">
        <v>44</v>
      </c>
      <c r="C67" s="80" t="s">
        <v>52</v>
      </c>
      <c r="D67" s="80" t="s">
        <v>52</v>
      </c>
      <c r="E67" s="80" t="s">
        <v>52</v>
      </c>
      <c r="F67" s="80" t="s">
        <v>52</v>
      </c>
      <c r="G67" s="123" t="s">
        <v>44</v>
      </c>
      <c r="H67" s="80" t="s">
        <v>52</v>
      </c>
      <c r="I67" s="80" t="s">
        <v>52</v>
      </c>
      <c r="J67" s="80" t="s">
        <v>52</v>
      </c>
      <c r="K67" s="80" t="s">
        <v>52</v>
      </c>
      <c r="L67" s="65">
        <v>177</v>
      </c>
      <c r="M67" s="80" t="s">
        <v>52</v>
      </c>
      <c r="N67" s="80" t="s">
        <v>52</v>
      </c>
      <c r="O67" s="80" t="s">
        <v>52</v>
      </c>
      <c r="P67" s="80" t="s">
        <v>52</v>
      </c>
      <c r="Q67" s="65">
        <v>188</v>
      </c>
      <c r="R67" s="70">
        <v>42</v>
      </c>
      <c r="S67" s="70">
        <v>33</v>
      </c>
      <c r="T67" s="70">
        <v>37</v>
      </c>
      <c r="U67" s="70">
        <f>V67-T67-S67-R67</f>
        <v>30</v>
      </c>
      <c r="V67" s="65">
        <v>142</v>
      </c>
      <c r="W67" s="70">
        <v>38</v>
      </c>
      <c r="X67" s="70">
        <v>39</v>
      </c>
      <c r="Y67" s="70">
        <v>44</v>
      </c>
      <c r="Z67" s="70">
        <f>AA67-Y67-X67-W67</f>
        <v>41</v>
      </c>
      <c r="AA67" s="65">
        <v>162</v>
      </c>
      <c r="AB67" s="70">
        <v>37</v>
      </c>
      <c r="AC67" s="70">
        <v>38</v>
      </c>
      <c r="AD67" s="70">
        <v>38</v>
      </c>
      <c r="AE67" s="70">
        <f>AF67-AD67-AC67-AB67</f>
        <v>39</v>
      </c>
      <c r="AF67" s="65">
        <v>152</v>
      </c>
      <c r="AG67" s="70">
        <v>37</v>
      </c>
      <c r="AH67" s="70">
        <v>40</v>
      </c>
      <c r="AI67" s="70">
        <v>38</v>
      </c>
      <c r="AJ67" s="70">
        <v>39</v>
      </c>
      <c r="AK67" s="65">
        <v>154</v>
      </c>
      <c r="AL67" s="70">
        <v>35</v>
      </c>
      <c r="AM67" s="70">
        <v>41</v>
      </c>
      <c r="AN67" s="70">
        <v>47</v>
      </c>
      <c r="AO67" s="70">
        <v>44</v>
      </c>
      <c r="AP67" s="65">
        <v>167</v>
      </c>
      <c r="AQ67" s="70">
        <v>42</v>
      </c>
      <c r="AR67" s="70">
        <v>39</v>
      </c>
      <c r="AS67" s="70">
        <v>42</v>
      </c>
      <c r="AT67" s="70">
        <v>41</v>
      </c>
      <c r="AU67" s="65">
        <v>164</v>
      </c>
      <c r="AV67" s="70">
        <v>42</v>
      </c>
      <c r="AW67" s="70">
        <v>39</v>
      </c>
      <c r="AX67" s="70">
        <v>38</v>
      </c>
      <c r="AY67" s="70">
        <v>37</v>
      </c>
      <c r="AZ67" s="65">
        <v>156</v>
      </c>
      <c r="BA67" s="70">
        <v>17</v>
      </c>
      <c r="BB67" s="70">
        <v>20</v>
      </c>
      <c r="BC67" s="70">
        <v>19</v>
      </c>
      <c r="BD67" s="70">
        <v>26</v>
      </c>
      <c r="BE67" s="65">
        <v>82</v>
      </c>
    </row>
    <row r="68" spans="1:57" ht="9" customHeight="1">
      <c r="A68" s="71" t="s">
        <v>7</v>
      </c>
      <c r="B68" s="24"/>
      <c r="C68" s="95"/>
      <c r="D68" s="95"/>
      <c r="E68" s="95"/>
      <c r="F68" s="95"/>
      <c r="G68" s="24"/>
      <c r="H68" s="95"/>
      <c r="I68" s="95"/>
      <c r="J68" s="95"/>
      <c r="K68" s="95"/>
      <c r="L68" s="24"/>
      <c r="M68" s="95"/>
      <c r="N68" s="95"/>
      <c r="O68" s="95"/>
      <c r="P68" s="95"/>
      <c r="Q68" s="24"/>
      <c r="R68" s="72"/>
      <c r="S68" s="72">
        <f>S67/R67-1</f>
        <v>-0.2142857142857143</v>
      </c>
      <c r="T68" s="72">
        <f>T67/S67-1</f>
        <v>0.1212121212121211</v>
      </c>
      <c r="U68" s="72">
        <f>U67/T67-1</f>
        <v>-0.18918918918918914</v>
      </c>
      <c r="V68" s="24"/>
      <c r="W68" s="72">
        <f>W67/U67-1</f>
        <v>0.26666666666666661</v>
      </c>
      <c r="X68" s="72">
        <f>X67/W67-1</f>
        <v>2.6315789473684292E-2</v>
      </c>
      <c r="Y68" s="72">
        <f>Y67/X67-1</f>
        <v>0.12820512820512819</v>
      </c>
      <c r="Z68" s="72">
        <f>Z67/Y67-1</f>
        <v>-6.8181818181818232E-2</v>
      </c>
      <c r="AA68" s="24"/>
      <c r="AB68" s="72">
        <f>AB67/Z67-1</f>
        <v>-9.7560975609756073E-2</v>
      </c>
      <c r="AC68" s="72">
        <f>AC67/AB67-1</f>
        <v>2.7027027027026973E-2</v>
      </c>
      <c r="AD68" s="72">
        <f>AD67/AC67-1</f>
        <v>0</v>
      </c>
      <c r="AE68" s="72">
        <f>AE67/AD67-1</f>
        <v>2.6315789473684292E-2</v>
      </c>
      <c r="AF68" s="24"/>
      <c r="AG68" s="72">
        <v>-5.1282051282051322E-2</v>
      </c>
      <c r="AH68" s="72">
        <v>8.1081081081081141E-2</v>
      </c>
      <c r="AI68" s="72">
        <v>-5.0000000000000044E-2</v>
      </c>
      <c r="AJ68" s="72">
        <v>2.6315789473684292E-2</v>
      </c>
      <c r="AK68" s="24"/>
      <c r="AL68" s="72">
        <v>-0.10256410256410253</v>
      </c>
      <c r="AM68" s="72">
        <v>0.17142857142857149</v>
      </c>
      <c r="AN68" s="72">
        <v>0.14634146341463405</v>
      </c>
      <c r="AO68" s="72">
        <v>-6.3829787234042534E-2</v>
      </c>
      <c r="AP68" s="24"/>
      <c r="AQ68" s="72">
        <v>-4.5454545454545414E-2</v>
      </c>
      <c r="AR68" s="72">
        <v>-7.1428571428571397E-2</v>
      </c>
      <c r="AS68" s="72">
        <v>7.6923076923076872E-2</v>
      </c>
      <c r="AT68" s="72">
        <v>-2.3809523809523836E-2</v>
      </c>
      <c r="AU68" s="24"/>
      <c r="AV68" s="72">
        <v>2.4390243902439046E-2</v>
      </c>
      <c r="AW68" s="72">
        <v>-7.1428571428571397E-2</v>
      </c>
      <c r="AX68" s="72">
        <v>-2.5641025641025661E-2</v>
      </c>
      <c r="AY68" s="72">
        <v>-2.6315789473684181E-2</v>
      </c>
      <c r="AZ68" s="24"/>
      <c r="BA68" s="72">
        <v>-0.54054054054054057</v>
      </c>
      <c r="BB68" s="72">
        <v>0.17647058823529416</v>
      </c>
      <c r="BC68" s="72">
        <v>-5.0000000000000044E-2</v>
      </c>
      <c r="BD68" s="72">
        <v>0.36842105263157898</v>
      </c>
      <c r="BE68" s="24"/>
    </row>
    <row r="69" spans="1:57" ht="12" customHeight="1">
      <c r="A69" s="71" t="s">
        <v>8</v>
      </c>
      <c r="B69" s="24"/>
      <c r="C69" s="95"/>
      <c r="D69" s="95"/>
      <c r="E69" s="95"/>
      <c r="F69" s="95"/>
      <c r="G69" s="24"/>
      <c r="H69" s="95"/>
      <c r="I69" s="95"/>
      <c r="J69" s="95"/>
      <c r="K69" s="95"/>
      <c r="L69" s="24"/>
      <c r="M69" s="95"/>
      <c r="N69" s="95"/>
      <c r="O69" s="95"/>
      <c r="P69" s="95"/>
      <c r="Q69" s="24">
        <f>Q67/L67-1</f>
        <v>6.2146892655367214E-2</v>
      </c>
      <c r="R69" s="73"/>
      <c r="S69" s="73"/>
      <c r="T69" s="73"/>
      <c r="U69" s="73"/>
      <c r="V69" s="24">
        <f t="shared" ref="V69:AD69" si="73">V67/Q67-1</f>
        <v>-0.24468085106382975</v>
      </c>
      <c r="W69" s="73">
        <f t="shared" si="73"/>
        <v>-9.5238095238095233E-2</v>
      </c>
      <c r="X69" s="73">
        <f t="shared" si="73"/>
        <v>0.18181818181818188</v>
      </c>
      <c r="Y69" s="73">
        <f t="shared" si="73"/>
        <v>0.18918918918918926</v>
      </c>
      <c r="Z69" s="73">
        <f t="shared" si="73"/>
        <v>0.3666666666666667</v>
      </c>
      <c r="AA69" s="24">
        <f t="shared" si="73"/>
        <v>0.14084507042253525</v>
      </c>
      <c r="AB69" s="73">
        <f t="shared" si="73"/>
        <v>-2.6315789473684181E-2</v>
      </c>
      <c r="AC69" s="73">
        <f t="shared" si="73"/>
        <v>-2.5641025641025661E-2</v>
      </c>
      <c r="AD69" s="73">
        <f t="shared" si="73"/>
        <v>-0.13636363636363635</v>
      </c>
      <c r="AE69" s="73">
        <f t="shared" ref="AE69" si="74">AE67/Z67-1</f>
        <v>-4.8780487804878092E-2</v>
      </c>
      <c r="AF69" s="24">
        <v>-6.1728395061728447E-2</v>
      </c>
      <c r="AG69" s="73">
        <v>0</v>
      </c>
      <c r="AH69" s="73">
        <v>5.2631578947368363E-2</v>
      </c>
      <c r="AI69" s="73">
        <v>0</v>
      </c>
      <c r="AJ69" s="73">
        <v>0</v>
      </c>
      <c r="AK69" s="24">
        <v>1.3157894736842035E-2</v>
      </c>
      <c r="AL69" s="73">
        <v>-5.4054054054054057E-2</v>
      </c>
      <c r="AM69" s="73">
        <v>2.4999999999999911E-2</v>
      </c>
      <c r="AN69" s="73">
        <v>0.23684210526315796</v>
      </c>
      <c r="AO69" s="73">
        <v>0.12820512820512819</v>
      </c>
      <c r="AP69" s="24">
        <v>8.4415584415584499E-2</v>
      </c>
      <c r="AQ69" s="73">
        <v>0.19999999999999996</v>
      </c>
      <c r="AR69" s="73">
        <v>-4.8780487804878092E-2</v>
      </c>
      <c r="AS69" s="73">
        <v>-0.1063829787234043</v>
      </c>
      <c r="AT69" s="73">
        <v>-6.8181818181818232E-2</v>
      </c>
      <c r="AU69" s="24">
        <v>-1.7964071856287456E-2</v>
      </c>
      <c r="AV69" s="73">
        <v>0</v>
      </c>
      <c r="AW69" s="73">
        <v>0</v>
      </c>
      <c r="AX69" s="73">
        <v>-9.5238095238095233E-2</v>
      </c>
      <c r="AY69" s="73">
        <v>-9.7560975609756073E-2</v>
      </c>
      <c r="AZ69" s="24">
        <v>-4.8780487804878092E-2</v>
      </c>
      <c r="BA69" s="73">
        <v>-0.59523809523809523</v>
      </c>
      <c r="BB69" s="73">
        <v>-0.48717948717948723</v>
      </c>
      <c r="BC69" s="73">
        <v>-0.5</v>
      </c>
      <c r="BD69" s="73">
        <v>-0.29729729729729726</v>
      </c>
      <c r="BE69" s="24">
        <v>-0.47435897435897434</v>
      </c>
    </row>
    <row r="70" spans="1:57" ht="13.5" customHeight="1">
      <c r="A70" s="69" t="s">
        <v>210</v>
      </c>
      <c r="B70" s="123" t="s">
        <v>44</v>
      </c>
      <c r="C70" s="80" t="s">
        <v>52</v>
      </c>
      <c r="D70" s="80" t="s">
        <v>52</v>
      </c>
      <c r="E70" s="80" t="s">
        <v>52</v>
      </c>
      <c r="F70" s="80" t="s">
        <v>52</v>
      </c>
      <c r="G70" s="123" t="s">
        <v>44</v>
      </c>
      <c r="H70" s="80" t="s">
        <v>52</v>
      </c>
      <c r="I70" s="80" t="s">
        <v>52</v>
      </c>
      <c r="J70" s="80" t="s">
        <v>52</v>
      </c>
      <c r="K70" s="80" t="s">
        <v>52</v>
      </c>
      <c r="L70" s="65">
        <v>151</v>
      </c>
      <c r="M70" s="80" t="s">
        <v>52</v>
      </c>
      <c r="N70" s="80" t="s">
        <v>52</v>
      </c>
      <c r="O70" s="80" t="s">
        <v>52</v>
      </c>
      <c r="P70" s="80" t="s">
        <v>52</v>
      </c>
      <c r="Q70" s="65">
        <v>156</v>
      </c>
      <c r="R70" s="70">
        <v>33</v>
      </c>
      <c r="S70" s="70">
        <v>32</v>
      </c>
      <c r="T70" s="70">
        <v>30</v>
      </c>
      <c r="U70" s="70">
        <f>V70-T70-S70-R70</f>
        <v>28</v>
      </c>
      <c r="V70" s="65">
        <v>123</v>
      </c>
      <c r="W70" s="70">
        <v>24</v>
      </c>
      <c r="X70" s="70">
        <v>24</v>
      </c>
      <c r="Y70" s="70">
        <v>21</v>
      </c>
      <c r="Z70" s="70">
        <f>AA70-Y70-X70-W70</f>
        <v>34</v>
      </c>
      <c r="AA70" s="65">
        <v>103</v>
      </c>
      <c r="AB70" s="70">
        <v>17</v>
      </c>
      <c r="AC70" s="70">
        <v>17</v>
      </c>
      <c r="AD70" s="70">
        <v>16</v>
      </c>
      <c r="AE70" s="70">
        <f>AF70-AD70-AC70-AB70</f>
        <v>15</v>
      </c>
      <c r="AF70" s="65">
        <v>65</v>
      </c>
      <c r="AG70" s="70">
        <v>15</v>
      </c>
      <c r="AH70" s="70">
        <v>15</v>
      </c>
      <c r="AI70" s="70">
        <v>15</v>
      </c>
      <c r="AJ70" s="70">
        <v>13</v>
      </c>
      <c r="AK70" s="65">
        <v>58</v>
      </c>
      <c r="AL70" s="70">
        <v>13</v>
      </c>
      <c r="AM70" s="70">
        <v>144</v>
      </c>
      <c r="AN70" s="70">
        <v>147</v>
      </c>
      <c r="AO70" s="70">
        <v>154</v>
      </c>
      <c r="AP70" s="65">
        <v>458</v>
      </c>
      <c r="AQ70" s="70">
        <v>154</v>
      </c>
      <c r="AR70" s="70">
        <v>147</v>
      </c>
      <c r="AS70" s="70">
        <v>165</v>
      </c>
      <c r="AT70" s="70">
        <v>163</v>
      </c>
      <c r="AU70" s="65">
        <v>629</v>
      </c>
      <c r="AV70" s="70">
        <v>161</v>
      </c>
      <c r="AW70" s="70">
        <v>162</v>
      </c>
      <c r="AX70" s="70">
        <v>158</v>
      </c>
      <c r="AY70" s="70">
        <v>155</v>
      </c>
      <c r="AZ70" s="65">
        <v>636</v>
      </c>
      <c r="BA70" s="70">
        <v>156</v>
      </c>
      <c r="BB70" s="70">
        <v>169</v>
      </c>
      <c r="BC70" s="70">
        <v>155</v>
      </c>
      <c r="BD70" s="70">
        <v>173</v>
      </c>
      <c r="BE70" s="65">
        <v>653</v>
      </c>
    </row>
    <row r="71" spans="1:57" ht="9.6" customHeight="1">
      <c r="A71" s="71" t="s">
        <v>7</v>
      </c>
      <c r="B71" s="24"/>
      <c r="C71" s="95"/>
      <c r="D71" s="95"/>
      <c r="E71" s="95"/>
      <c r="F71" s="95"/>
      <c r="G71" s="24"/>
      <c r="H71" s="95"/>
      <c r="I71" s="95"/>
      <c r="J71" s="95"/>
      <c r="K71" s="95"/>
      <c r="L71" s="24"/>
      <c r="M71" s="95"/>
      <c r="N71" s="95"/>
      <c r="O71" s="95"/>
      <c r="P71" s="95"/>
      <c r="Q71" s="24"/>
      <c r="R71" s="72"/>
      <c r="S71" s="72">
        <f>S70/R70-1</f>
        <v>-3.0303030303030276E-2</v>
      </c>
      <c r="T71" s="72">
        <f>T70/S70-1</f>
        <v>-6.25E-2</v>
      </c>
      <c r="U71" s="72">
        <f>U70/T70-1</f>
        <v>-6.6666666666666652E-2</v>
      </c>
      <c r="V71" s="24"/>
      <c r="W71" s="72">
        <f>W70/U70-1</f>
        <v>-0.1428571428571429</v>
      </c>
      <c r="X71" s="72">
        <f>X70/W70-1</f>
        <v>0</v>
      </c>
      <c r="Y71" s="72">
        <f>Y70/X70-1</f>
        <v>-0.125</v>
      </c>
      <c r="Z71" s="72">
        <f>Z70/Y70-1</f>
        <v>0.61904761904761907</v>
      </c>
      <c r="AA71" s="24"/>
      <c r="AB71" s="72">
        <f>AB70/Z70-1</f>
        <v>-0.5</v>
      </c>
      <c r="AC71" s="72">
        <f>AC70/AB70-1</f>
        <v>0</v>
      </c>
      <c r="AD71" s="72">
        <f>AD70/AC70-1</f>
        <v>-5.8823529411764719E-2</v>
      </c>
      <c r="AE71" s="72">
        <f>AE70/AD70-1</f>
        <v>-6.25E-2</v>
      </c>
      <c r="AF71" s="24"/>
      <c r="AG71" s="72">
        <v>0</v>
      </c>
      <c r="AH71" s="72">
        <v>0</v>
      </c>
      <c r="AI71" s="72">
        <v>0</v>
      </c>
      <c r="AJ71" s="72">
        <v>-0.1333333333333333</v>
      </c>
      <c r="AK71" s="24"/>
      <c r="AL71" s="72">
        <v>0</v>
      </c>
      <c r="AM71" s="85" t="s">
        <v>43</v>
      </c>
      <c r="AN71" s="72">
        <v>2.0833333333333259E-2</v>
      </c>
      <c r="AO71" s="72">
        <v>4.7619047619047672E-2</v>
      </c>
      <c r="AP71" s="24"/>
      <c r="AQ71" s="72">
        <v>0</v>
      </c>
      <c r="AR71" s="72">
        <v>-4.5454545454545414E-2</v>
      </c>
      <c r="AS71" s="72">
        <v>0.12244897959183665</v>
      </c>
      <c r="AT71" s="72">
        <v>-1.2121212121212088E-2</v>
      </c>
      <c r="AU71" s="24"/>
      <c r="AV71" s="72">
        <v>-1.2269938650306789E-2</v>
      </c>
      <c r="AW71" s="72">
        <v>6.2111801242235032E-3</v>
      </c>
      <c r="AX71" s="72">
        <v>-2.4691358024691357E-2</v>
      </c>
      <c r="AY71" s="72">
        <v>-1.8987341772151889E-2</v>
      </c>
      <c r="AZ71" s="24"/>
      <c r="BA71" s="72">
        <v>6.4516129032257119E-3</v>
      </c>
      <c r="BB71" s="72">
        <v>8.3333333333333259E-2</v>
      </c>
      <c r="BC71" s="72">
        <v>-8.2840236686390512E-2</v>
      </c>
      <c r="BD71" s="72">
        <v>0.11612903225806459</v>
      </c>
      <c r="BE71" s="24"/>
    </row>
    <row r="72" spans="1:57" ht="11.25" customHeight="1">
      <c r="A72" s="71" t="s">
        <v>8</v>
      </c>
      <c r="B72" s="24"/>
      <c r="C72" s="95"/>
      <c r="D72" s="95"/>
      <c r="E72" s="95"/>
      <c r="F72" s="95"/>
      <c r="G72" s="24"/>
      <c r="H72" s="95"/>
      <c r="I72" s="95"/>
      <c r="J72" s="95"/>
      <c r="K72" s="95"/>
      <c r="L72" s="24"/>
      <c r="M72" s="95"/>
      <c r="N72" s="95"/>
      <c r="O72" s="95"/>
      <c r="P72" s="95"/>
      <c r="Q72" s="24">
        <f>Q70/L70-1</f>
        <v>3.3112582781456901E-2</v>
      </c>
      <c r="R72" s="73"/>
      <c r="S72" s="73"/>
      <c r="T72" s="73"/>
      <c r="U72" s="73"/>
      <c r="V72" s="24">
        <f t="shared" ref="V72:AE72" si="75">V70/Q70-1</f>
        <v>-0.21153846153846156</v>
      </c>
      <c r="W72" s="73">
        <f t="shared" si="75"/>
        <v>-0.27272727272727271</v>
      </c>
      <c r="X72" s="73">
        <f t="shared" si="75"/>
        <v>-0.25</v>
      </c>
      <c r="Y72" s="73">
        <f t="shared" si="75"/>
        <v>-0.30000000000000004</v>
      </c>
      <c r="Z72" s="73">
        <f t="shared" si="75"/>
        <v>0.21428571428571419</v>
      </c>
      <c r="AA72" s="24">
        <f t="shared" si="75"/>
        <v>-0.16260162601626016</v>
      </c>
      <c r="AB72" s="73">
        <f t="shared" si="75"/>
        <v>-0.29166666666666663</v>
      </c>
      <c r="AC72" s="73">
        <f t="shared" si="75"/>
        <v>-0.29166666666666663</v>
      </c>
      <c r="AD72" s="73">
        <f t="shared" si="75"/>
        <v>-0.23809523809523814</v>
      </c>
      <c r="AE72" s="73">
        <f t="shared" si="75"/>
        <v>-0.55882352941176472</v>
      </c>
      <c r="AF72" s="24">
        <v>-0.3689320388349514</v>
      </c>
      <c r="AG72" s="73">
        <v>-0.11764705882352944</v>
      </c>
      <c r="AH72" s="73">
        <v>-0.11764705882352944</v>
      </c>
      <c r="AI72" s="73">
        <v>-6.25E-2</v>
      </c>
      <c r="AJ72" s="73">
        <v>-0.1333333333333333</v>
      </c>
      <c r="AK72" s="24">
        <v>-0.10769230769230764</v>
      </c>
      <c r="AL72" s="73">
        <v>-0.1333333333333333</v>
      </c>
      <c r="AM72" s="85" t="s">
        <v>43</v>
      </c>
      <c r="AN72" s="85" t="s">
        <v>43</v>
      </c>
      <c r="AO72" s="85" t="s">
        <v>43</v>
      </c>
      <c r="AP72" s="24">
        <v>6.8965517241379306</v>
      </c>
      <c r="AQ72" s="85" t="s">
        <v>43</v>
      </c>
      <c r="AR72" s="73">
        <v>2.0833333333333259E-2</v>
      </c>
      <c r="AS72" s="73">
        <v>0.12244897959183665</v>
      </c>
      <c r="AT72" s="85" t="s">
        <v>43</v>
      </c>
      <c r="AU72" s="24">
        <v>0.3733624454148472</v>
      </c>
      <c r="AV72" s="73">
        <v>4.5454545454545414E-2</v>
      </c>
      <c r="AW72" s="73">
        <v>0.1020408163265305</v>
      </c>
      <c r="AX72" s="73">
        <v>-4.2424242424242475E-2</v>
      </c>
      <c r="AY72" s="73">
        <v>-4.9079754601227044E-2</v>
      </c>
      <c r="AZ72" s="24">
        <v>1.11287758346581E-2</v>
      </c>
      <c r="BA72" s="73">
        <v>-3.105590062111796E-2</v>
      </c>
      <c r="BB72" s="73">
        <v>4.3209876543209846E-2</v>
      </c>
      <c r="BC72" s="73">
        <v>-1.8987341772151889E-2</v>
      </c>
      <c r="BD72" s="73">
        <v>0.11612903225806459</v>
      </c>
      <c r="BE72" s="24">
        <v>2.6729559748427612E-2</v>
      </c>
    </row>
    <row r="73" spans="1:57" ht="13.2" hidden="1" customHeight="1">
      <c r="A73" s="69" t="s">
        <v>144</v>
      </c>
      <c r="B73" s="123" t="s">
        <v>44</v>
      </c>
      <c r="C73" s="80" t="s">
        <v>52</v>
      </c>
      <c r="D73" s="80" t="s">
        <v>52</v>
      </c>
      <c r="E73" s="80" t="s">
        <v>52</v>
      </c>
      <c r="F73" s="80" t="s">
        <v>52</v>
      </c>
      <c r="G73" s="123" t="s">
        <v>44</v>
      </c>
      <c r="H73" s="80" t="s">
        <v>52</v>
      </c>
      <c r="I73" s="80" t="s">
        <v>52</v>
      </c>
      <c r="J73" s="80" t="s">
        <v>52</v>
      </c>
      <c r="K73" s="80" t="s">
        <v>52</v>
      </c>
      <c r="L73" s="65">
        <v>127</v>
      </c>
      <c r="M73" s="80" t="s">
        <v>52</v>
      </c>
      <c r="N73" s="80" t="s">
        <v>52</v>
      </c>
      <c r="O73" s="80" t="s">
        <v>52</v>
      </c>
      <c r="P73" s="80" t="s">
        <v>52</v>
      </c>
      <c r="Q73" s="65">
        <v>130</v>
      </c>
      <c r="R73" s="70">
        <v>41</v>
      </c>
      <c r="S73" s="70">
        <v>40</v>
      </c>
      <c r="T73" s="70">
        <v>40</v>
      </c>
      <c r="U73" s="70">
        <f>V73-T73-S73-R73</f>
        <v>39</v>
      </c>
      <c r="V73" s="65">
        <v>160</v>
      </c>
      <c r="W73" s="70">
        <v>52</v>
      </c>
      <c r="X73" s="70">
        <v>47</v>
      </c>
      <c r="Y73" s="70">
        <v>24</v>
      </c>
      <c r="Z73" s="70">
        <f>AA73-Y73-X73-W73</f>
        <v>25</v>
      </c>
      <c r="AA73" s="65">
        <v>148</v>
      </c>
      <c r="AB73" s="70">
        <v>14</v>
      </c>
      <c r="AC73" s="70">
        <v>12</v>
      </c>
      <c r="AD73" s="70">
        <v>13</v>
      </c>
      <c r="AE73" s="70">
        <f>AF73-AD73-AC73-AB73</f>
        <v>12</v>
      </c>
      <c r="AF73" s="65">
        <v>51</v>
      </c>
      <c r="AG73" s="70">
        <v>0</v>
      </c>
      <c r="AH73" s="70">
        <v>0</v>
      </c>
      <c r="AI73" s="70">
        <v>0</v>
      </c>
      <c r="AJ73" s="70">
        <v>0</v>
      </c>
      <c r="AK73" s="65">
        <v>0</v>
      </c>
      <c r="AL73" s="70">
        <v>0</v>
      </c>
      <c r="AM73" s="70"/>
      <c r="AN73" s="70"/>
      <c r="AO73" s="70">
        <v>0</v>
      </c>
      <c r="AP73" s="65">
        <v>0</v>
      </c>
      <c r="AQ73" s="70">
        <v>0</v>
      </c>
      <c r="AR73" s="70"/>
      <c r="AS73" s="70"/>
      <c r="AT73" s="70">
        <v>0</v>
      </c>
      <c r="AU73" s="65">
        <v>0</v>
      </c>
      <c r="AV73" s="70">
        <v>0</v>
      </c>
      <c r="AW73" s="70">
        <v>0</v>
      </c>
      <c r="AX73" s="70">
        <v>0</v>
      </c>
      <c r="AY73" s="70">
        <v>0</v>
      </c>
      <c r="AZ73" s="65">
        <v>0</v>
      </c>
      <c r="BA73" s="70">
        <v>0</v>
      </c>
      <c r="BB73" s="70">
        <v>0</v>
      </c>
      <c r="BC73" s="70">
        <v>0</v>
      </c>
      <c r="BD73" s="70">
        <v>0</v>
      </c>
      <c r="BE73" s="65">
        <v>0</v>
      </c>
    </row>
    <row r="74" spans="1:57" ht="13.2" hidden="1" customHeight="1">
      <c r="A74" s="71" t="s">
        <v>7</v>
      </c>
      <c r="B74" s="24"/>
      <c r="C74" s="95"/>
      <c r="D74" s="95"/>
      <c r="E74" s="95"/>
      <c r="F74" s="95"/>
      <c r="G74" s="24"/>
      <c r="H74" s="95"/>
      <c r="I74" s="95"/>
      <c r="J74" s="95"/>
      <c r="K74" s="95"/>
      <c r="L74" s="24"/>
      <c r="M74" s="95"/>
      <c r="N74" s="95"/>
      <c r="O74" s="95"/>
      <c r="P74" s="95"/>
      <c r="Q74" s="24"/>
      <c r="R74" s="72"/>
      <c r="S74" s="72">
        <f>S73/R73-1</f>
        <v>-2.4390243902439046E-2</v>
      </c>
      <c r="T74" s="72">
        <f>T73/S73-1</f>
        <v>0</v>
      </c>
      <c r="U74" s="72">
        <f>U73/T73-1</f>
        <v>-2.5000000000000022E-2</v>
      </c>
      <c r="V74" s="24"/>
      <c r="W74" s="72">
        <f>W73/U73-1</f>
        <v>0.33333333333333326</v>
      </c>
      <c r="X74" s="72">
        <f>X73/W73-1</f>
        <v>-9.6153846153846145E-2</v>
      </c>
      <c r="Y74" s="72">
        <f>Y73/X73-1</f>
        <v>-0.48936170212765961</v>
      </c>
      <c r="Z74" s="72">
        <f>Z73/Y73-1</f>
        <v>4.1666666666666741E-2</v>
      </c>
      <c r="AA74" s="24"/>
      <c r="AB74" s="72">
        <f>AB73/Z73-1</f>
        <v>-0.43999999999999995</v>
      </c>
      <c r="AC74" s="72">
        <f>AC73/AB73-1</f>
        <v>-0.1428571428571429</v>
      </c>
      <c r="AD74" s="72">
        <f>AD73/AC73-1</f>
        <v>8.3333333333333259E-2</v>
      </c>
      <c r="AE74" s="72">
        <f>AE73/AD73-1</f>
        <v>-7.6923076923076872E-2</v>
      </c>
      <c r="AF74" s="24"/>
      <c r="AG74" s="85" t="s">
        <v>44</v>
      </c>
      <c r="AH74" s="85" t="s">
        <v>44</v>
      </c>
      <c r="AI74" s="85" t="s">
        <v>44</v>
      </c>
      <c r="AJ74" s="85" t="s">
        <v>44</v>
      </c>
      <c r="AK74" s="24"/>
      <c r="AL74" s="85" t="s">
        <v>44</v>
      </c>
      <c r="AM74" s="85" t="s">
        <v>44</v>
      </c>
      <c r="AN74" s="85" t="s">
        <v>44</v>
      </c>
      <c r="AO74" s="85" t="s">
        <v>44</v>
      </c>
      <c r="AP74" s="24"/>
      <c r="AQ74" s="85" t="s">
        <v>44</v>
      </c>
      <c r="AR74" s="85" t="s">
        <v>44</v>
      </c>
      <c r="AS74" s="85" t="s">
        <v>44</v>
      </c>
      <c r="AT74" s="85" t="s">
        <v>44</v>
      </c>
      <c r="AU74" s="24"/>
      <c r="AV74" s="85" t="s">
        <v>44</v>
      </c>
      <c r="AW74" s="85" t="s">
        <v>44</v>
      </c>
      <c r="AX74" s="85" t="s">
        <v>44</v>
      </c>
      <c r="AY74" s="85" t="s">
        <v>44</v>
      </c>
      <c r="AZ74" s="24"/>
      <c r="BA74" s="85" t="s">
        <v>44</v>
      </c>
      <c r="BB74" s="85" t="s">
        <v>44</v>
      </c>
      <c r="BC74" s="85" t="s">
        <v>44</v>
      </c>
      <c r="BD74" s="85" t="s">
        <v>44</v>
      </c>
      <c r="BE74" s="24"/>
    </row>
    <row r="75" spans="1:57" ht="13.2" hidden="1" customHeight="1">
      <c r="A75" s="71" t="s">
        <v>8</v>
      </c>
      <c r="B75" s="24"/>
      <c r="C75" s="95"/>
      <c r="D75" s="95"/>
      <c r="E75" s="95"/>
      <c r="F75" s="95"/>
      <c r="G75" s="24"/>
      <c r="H75" s="95"/>
      <c r="I75" s="95"/>
      <c r="J75" s="95"/>
      <c r="K75" s="95"/>
      <c r="L75" s="24"/>
      <c r="M75" s="95"/>
      <c r="N75" s="95"/>
      <c r="O75" s="95"/>
      <c r="P75" s="95"/>
      <c r="Q75" s="24">
        <f>Q73/L73-1</f>
        <v>2.3622047244094446E-2</v>
      </c>
      <c r="R75" s="73"/>
      <c r="S75" s="73"/>
      <c r="T75" s="73"/>
      <c r="U75" s="73"/>
      <c r="V75" s="24">
        <f t="shared" ref="V75:AD75" si="76">V73/Q73-1</f>
        <v>0.23076923076923084</v>
      </c>
      <c r="W75" s="73">
        <f t="shared" si="76"/>
        <v>0.26829268292682928</v>
      </c>
      <c r="X75" s="73">
        <f t="shared" si="76"/>
        <v>0.17500000000000004</v>
      </c>
      <c r="Y75" s="73">
        <f t="shared" si="76"/>
        <v>-0.4</v>
      </c>
      <c r="Z75" s="73">
        <f t="shared" si="76"/>
        <v>-0.35897435897435892</v>
      </c>
      <c r="AA75" s="24">
        <f t="shared" si="76"/>
        <v>-7.4999999999999956E-2</v>
      </c>
      <c r="AB75" s="73">
        <f t="shared" si="76"/>
        <v>-0.73076923076923084</v>
      </c>
      <c r="AC75" s="73">
        <f t="shared" si="76"/>
        <v>-0.74468085106382986</v>
      </c>
      <c r="AD75" s="73">
        <f t="shared" si="76"/>
        <v>-0.45833333333333337</v>
      </c>
      <c r="AE75" s="73">
        <f>AE73/Z73-1</f>
        <v>-0.52</v>
      </c>
      <c r="AF75" s="24">
        <v>-0.65540540540540548</v>
      </c>
      <c r="AG75" s="85" t="s">
        <v>44</v>
      </c>
      <c r="AH75" s="85" t="s">
        <v>44</v>
      </c>
      <c r="AI75" s="85" t="s">
        <v>44</v>
      </c>
      <c r="AJ75" s="85" t="s">
        <v>44</v>
      </c>
      <c r="AK75" s="92" t="s">
        <v>44</v>
      </c>
      <c r="AL75" s="85" t="s">
        <v>44</v>
      </c>
      <c r="AM75" s="85" t="s">
        <v>44</v>
      </c>
      <c r="AN75" s="85" t="s">
        <v>44</v>
      </c>
      <c r="AO75" s="85" t="s">
        <v>44</v>
      </c>
      <c r="AP75" s="92" t="s">
        <v>44</v>
      </c>
      <c r="AQ75" s="85" t="s">
        <v>44</v>
      </c>
      <c r="AR75" s="85" t="s">
        <v>44</v>
      </c>
      <c r="AS75" s="85" t="s">
        <v>44</v>
      </c>
      <c r="AT75" s="85" t="s">
        <v>44</v>
      </c>
      <c r="AU75" s="92" t="s">
        <v>44</v>
      </c>
      <c r="AV75" s="85" t="s">
        <v>44</v>
      </c>
      <c r="AW75" s="85" t="s">
        <v>44</v>
      </c>
      <c r="AX75" s="85" t="s">
        <v>44</v>
      </c>
      <c r="AY75" s="85" t="s">
        <v>44</v>
      </c>
      <c r="AZ75" s="92" t="s">
        <v>44</v>
      </c>
      <c r="BA75" s="85" t="s">
        <v>44</v>
      </c>
      <c r="BB75" s="85" t="s">
        <v>44</v>
      </c>
      <c r="BC75" s="85" t="s">
        <v>44</v>
      </c>
      <c r="BD75" s="85" t="s">
        <v>44</v>
      </c>
      <c r="BE75" s="92" t="s">
        <v>44</v>
      </c>
    </row>
    <row r="76" spans="1:57" ht="3.6" customHeight="1">
      <c r="A76" s="44"/>
      <c r="B76" s="44"/>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row>
    <row r="77" spans="1:57" ht="13.5" customHeight="1">
      <c r="A77" s="95" t="s">
        <v>154</v>
      </c>
      <c r="B77" s="95"/>
      <c r="C77" s="95"/>
      <c r="D77" s="95"/>
      <c r="E77" s="95"/>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5"/>
      <c r="AK77" s="95"/>
      <c r="AL77" s="95"/>
      <c r="AM77" s="95"/>
      <c r="AN77" s="95"/>
      <c r="AO77" s="95"/>
      <c r="AP77" s="95"/>
      <c r="AQ77" s="95"/>
      <c r="AR77" s="95"/>
      <c r="AS77" s="95"/>
      <c r="AT77" s="95"/>
      <c r="AU77" s="95"/>
      <c r="AV77" s="95"/>
      <c r="AW77" s="95"/>
      <c r="AX77" s="95"/>
      <c r="AY77" s="95"/>
      <c r="AZ77" s="95"/>
      <c r="BA77" s="95"/>
      <c r="BB77" s="95"/>
      <c r="BC77" s="95"/>
      <c r="BD77" s="95"/>
      <c r="BE77" s="95"/>
    </row>
    <row r="78" spans="1:57" ht="3.6" customHeight="1">
      <c r="A78" s="44"/>
      <c r="B78" s="44"/>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row>
    <row r="79" spans="1:57" ht="18" customHeight="1">
      <c r="A79" s="35" t="s">
        <v>98</v>
      </c>
      <c r="B79" s="35"/>
      <c r="C79" s="27"/>
      <c r="D79" s="27"/>
      <c r="E79" s="27"/>
      <c r="F79" s="27"/>
      <c r="G79" s="27"/>
      <c r="H79" s="27"/>
      <c r="I79" s="27"/>
      <c r="J79" s="27"/>
      <c r="K79" s="27"/>
      <c r="L79" s="27"/>
      <c r="M79" s="27"/>
      <c r="N79" s="27"/>
      <c r="O79" s="27"/>
      <c r="P79" s="27"/>
      <c r="Q79" s="27"/>
      <c r="R79" s="27"/>
      <c r="S79" s="27"/>
      <c r="T79" s="27"/>
      <c r="U79" s="21"/>
      <c r="V79" s="21"/>
      <c r="W79" s="27"/>
      <c r="X79" s="27"/>
      <c r="Y79" s="27"/>
      <c r="Z79" s="21"/>
      <c r="AA79" s="21"/>
      <c r="AB79" s="21"/>
      <c r="AC79" s="27"/>
      <c r="AD79" s="27"/>
      <c r="AE79" s="21"/>
      <c r="AF79" s="21"/>
      <c r="AG79" s="21"/>
      <c r="AH79" s="27"/>
      <c r="AI79" s="27"/>
      <c r="AJ79" s="21"/>
      <c r="AK79" s="21"/>
      <c r="AL79" s="21"/>
      <c r="AM79" s="27"/>
      <c r="AN79" s="27"/>
      <c r="AO79" s="21"/>
      <c r="AP79" s="21"/>
      <c r="AQ79" s="21"/>
      <c r="AR79" s="27"/>
      <c r="AS79" s="27"/>
      <c r="AT79" s="21"/>
      <c r="AU79" s="21"/>
      <c r="AV79" s="21"/>
      <c r="AW79" s="21"/>
      <c r="AX79" s="21"/>
      <c r="AY79" s="21"/>
      <c r="AZ79" s="21"/>
      <c r="BA79" s="21"/>
      <c r="BB79" s="21"/>
      <c r="BC79" s="21"/>
      <c r="BD79" s="21"/>
      <c r="BE79" s="21"/>
    </row>
    <row r="80" spans="1:57" ht="6" customHeight="1">
      <c r="A80" s="61"/>
      <c r="B80" s="61"/>
      <c r="C80" s="62"/>
      <c r="D80" s="62"/>
      <c r="E80" s="62"/>
      <c r="F80" s="62"/>
      <c r="G80" s="62"/>
      <c r="H80" s="62"/>
      <c r="I80" s="62"/>
      <c r="J80" s="62"/>
      <c r="K80" s="62"/>
      <c r="L80" s="62"/>
      <c r="M80" s="62"/>
      <c r="N80" s="62"/>
      <c r="O80" s="62"/>
      <c r="P80" s="62"/>
      <c r="Q80" s="62"/>
      <c r="R80" s="62"/>
      <c r="S80" s="62"/>
      <c r="T80" s="62"/>
      <c r="U80" s="61"/>
      <c r="V80" s="61"/>
      <c r="W80" s="62"/>
      <c r="X80" s="62"/>
      <c r="Y80" s="62"/>
      <c r="Z80" s="61"/>
      <c r="AA80" s="61"/>
      <c r="AB80" s="61"/>
      <c r="AC80" s="62"/>
      <c r="AD80" s="62"/>
      <c r="AE80" s="61"/>
      <c r="AF80" s="61"/>
      <c r="AG80" s="61"/>
      <c r="AH80" s="62"/>
      <c r="AI80" s="62"/>
      <c r="AJ80" s="61"/>
      <c r="AK80" s="61"/>
      <c r="AL80" s="61"/>
      <c r="AM80" s="62"/>
      <c r="AN80" s="62"/>
      <c r="AO80" s="61"/>
      <c r="AP80" s="61"/>
      <c r="AQ80" s="61"/>
      <c r="AR80" s="62"/>
      <c r="AS80" s="62"/>
      <c r="AT80" s="61"/>
      <c r="AU80" s="61"/>
      <c r="AV80" s="61"/>
      <c r="AW80" s="61"/>
      <c r="AX80" s="61"/>
      <c r="AY80" s="61"/>
      <c r="AZ80" s="61"/>
      <c r="BA80" s="61"/>
      <c r="BB80" s="61"/>
      <c r="BC80" s="61"/>
      <c r="BD80" s="61"/>
      <c r="BE80" s="61"/>
    </row>
    <row r="81" spans="1:57" ht="13.5" customHeight="1">
      <c r="A81" s="40" t="s">
        <v>26</v>
      </c>
      <c r="B81" s="41"/>
      <c r="C81" s="49"/>
      <c r="D81" s="49"/>
      <c r="E81" s="49"/>
      <c r="F81" s="49"/>
      <c r="G81" s="41"/>
      <c r="H81" s="49"/>
      <c r="I81" s="49"/>
      <c r="J81" s="49"/>
      <c r="K81" s="49"/>
      <c r="L81" s="41"/>
      <c r="M81" s="49"/>
      <c r="N81" s="49"/>
      <c r="O81" s="49"/>
      <c r="P81" s="49"/>
      <c r="Q81" s="41"/>
      <c r="R81" s="49"/>
      <c r="S81" s="49"/>
      <c r="T81" s="49"/>
      <c r="U81" s="49"/>
      <c r="V81" s="41"/>
      <c r="W81" s="49"/>
      <c r="X81" s="49"/>
      <c r="Y81" s="49"/>
      <c r="Z81" s="49"/>
      <c r="AA81" s="41"/>
      <c r="AB81" s="49"/>
      <c r="AC81" s="49"/>
      <c r="AD81" s="49"/>
      <c r="AE81" s="49"/>
      <c r="AF81" s="41"/>
      <c r="AG81" s="49"/>
      <c r="AH81" s="49"/>
      <c r="AI81" s="49"/>
      <c r="AJ81" s="49"/>
      <c r="AK81" s="41"/>
      <c r="AL81" s="49"/>
      <c r="AM81" s="49"/>
      <c r="AN81" s="49"/>
      <c r="AO81" s="49"/>
      <c r="AP81" s="41"/>
      <c r="AQ81" s="49"/>
      <c r="AR81" s="49"/>
      <c r="AS81" s="49"/>
      <c r="AT81" s="49"/>
      <c r="AU81" s="41"/>
      <c r="AV81" s="49"/>
      <c r="AW81" s="49"/>
      <c r="AX81" s="49"/>
      <c r="AY81" s="49"/>
      <c r="AZ81" s="41"/>
      <c r="BA81" s="49"/>
      <c r="BB81" s="49"/>
      <c r="BC81" s="49"/>
      <c r="BD81" s="49"/>
      <c r="BE81" s="41"/>
    </row>
    <row r="82" spans="1:57" ht="13.5" customHeight="1">
      <c r="A82" s="69" t="s">
        <v>65</v>
      </c>
      <c r="B82" s="37">
        <f>2947-B480</f>
        <v>2697.125</v>
      </c>
      <c r="C82" s="70">
        <f>618-C480</f>
        <v>533.9</v>
      </c>
      <c r="D82" s="70">
        <f>759-D480</f>
        <v>726.63</v>
      </c>
      <c r="E82" s="70">
        <f>1212-E480</f>
        <v>1114.7670000000001</v>
      </c>
      <c r="F82" s="70">
        <f>G82-E82-D82-C82</f>
        <v>692.67600000000004</v>
      </c>
      <c r="G82" s="37">
        <f>3415-G480</f>
        <v>3067.973</v>
      </c>
      <c r="H82" s="70">
        <f>1225-H480</f>
        <v>1134.3150000000001</v>
      </c>
      <c r="I82" s="70">
        <f>808-I480</f>
        <v>714.62400000000002</v>
      </c>
      <c r="J82" s="70">
        <v>1021</v>
      </c>
      <c r="K82" s="70">
        <f>L82-J82-I82-H82</f>
        <v>785.06099999999992</v>
      </c>
      <c r="L82" s="37">
        <f>3915-260</f>
        <v>3655</v>
      </c>
      <c r="M82" s="70">
        <v>806</v>
      </c>
      <c r="N82" s="70">
        <v>976</v>
      </c>
      <c r="O82" s="70">
        <v>1166</v>
      </c>
      <c r="P82" s="70">
        <f>Q82-O82-N82-M82</f>
        <v>748</v>
      </c>
      <c r="Q82" s="37">
        <v>3696</v>
      </c>
      <c r="R82" s="70">
        <v>775</v>
      </c>
      <c r="S82" s="70">
        <v>670</v>
      </c>
      <c r="T82" s="70">
        <v>882</v>
      </c>
      <c r="U82" s="70">
        <f>V82-T82-S82-R82</f>
        <v>859</v>
      </c>
      <c r="V82" s="37">
        <v>3186</v>
      </c>
      <c r="W82" s="70">
        <v>998</v>
      </c>
      <c r="X82" s="70">
        <v>990</v>
      </c>
      <c r="Y82" s="70">
        <v>1024</v>
      </c>
      <c r="Z82" s="70">
        <f>AA82-Y82-X82-W82</f>
        <v>1002</v>
      </c>
      <c r="AA82" s="37">
        <v>4014</v>
      </c>
      <c r="AB82" s="70">
        <v>972</v>
      </c>
      <c r="AC82" s="70">
        <v>1102</v>
      </c>
      <c r="AD82" s="70">
        <v>1143</v>
      </c>
      <c r="AE82" s="70">
        <f>AF82-AD82-AC82-AB82</f>
        <v>935</v>
      </c>
      <c r="AF82" s="37">
        <v>4152</v>
      </c>
      <c r="AG82" s="70">
        <v>1043</v>
      </c>
      <c r="AH82" s="70">
        <v>1064</v>
      </c>
      <c r="AI82" s="70">
        <v>950</v>
      </c>
      <c r="AJ82" s="70">
        <v>739</v>
      </c>
      <c r="AK82" s="37">
        <v>3796</v>
      </c>
      <c r="AL82" s="70">
        <v>961</v>
      </c>
      <c r="AM82" s="70">
        <v>840</v>
      </c>
      <c r="AN82" s="70">
        <v>1050</v>
      </c>
      <c r="AO82" s="70">
        <v>889</v>
      </c>
      <c r="AP82" s="37">
        <v>3740</v>
      </c>
      <c r="AQ82" s="70">
        <v>922</v>
      </c>
      <c r="AR82" s="70">
        <v>870</v>
      </c>
      <c r="AS82" s="70">
        <v>902</v>
      </c>
      <c r="AT82" s="70">
        <v>832</v>
      </c>
      <c r="AU82" s="37">
        <v>3526</v>
      </c>
      <c r="AV82" s="70">
        <v>826</v>
      </c>
      <c r="AW82" s="70">
        <v>875</v>
      </c>
      <c r="AX82" s="70">
        <v>982</v>
      </c>
      <c r="AY82" s="70">
        <v>842</v>
      </c>
      <c r="AZ82" s="37">
        <v>3525</v>
      </c>
      <c r="BA82" s="70">
        <v>909</v>
      </c>
      <c r="BB82" s="70">
        <v>806</v>
      </c>
      <c r="BC82" s="70">
        <v>883</v>
      </c>
      <c r="BD82" s="70">
        <v>914</v>
      </c>
      <c r="BE82" s="37">
        <v>3512</v>
      </c>
    </row>
    <row r="83" spans="1:57" ht="13.5" customHeight="1">
      <c r="A83" s="71" t="s">
        <v>7</v>
      </c>
      <c r="B83" s="24"/>
      <c r="C83" s="72"/>
      <c r="D83" s="72">
        <f>D82/C82-1</f>
        <v>0.36098520322157723</v>
      </c>
      <c r="E83" s="72">
        <f>E82/D82-1</f>
        <v>0.5341604392882211</v>
      </c>
      <c r="F83" s="72">
        <f>F82/E82-1</f>
        <v>-0.37863607372661734</v>
      </c>
      <c r="G83" s="24"/>
      <c r="H83" s="72">
        <f>H82/F82-1</f>
        <v>0.63758380541551896</v>
      </c>
      <c r="I83" s="72">
        <f>I82/H82-1</f>
        <v>-0.36999510717922268</v>
      </c>
      <c r="J83" s="72">
        <f>J82/I82-1</f>
        <v>0.42872335661830552</v>
      </c>
      <c r="K83" s="72">
        <f>K82/J82-1</f>
        <v>-0.23108619000979436</v>
      </c>
      <c r="L83" s="24"/>
      <c r="M83" s="72">
        <f>M82/K82-1</f>
        <v>2.6671812763594316E-2</v>
      </c>
      <c r="N83" s="72">
        <f>N82/M82-1</f>
        <v>0.2109181141439207</v>
      </c>
      <c r="O83" s="72">
        <f>O82/N82-1</f>
        <v>0.19467213114754101</v>
      </c>
      <c r="P83" s="72">
        <f>P82/O82-1</f>
        <v>-0.35849056603773588</v>
      </c>
      <c r="Q83" s="24"/>
      <c r="R83" s="72">
        <f>R82/P82-1</f>
        <v>3.6096256684492012E-2</v>
      </c>
      <c r="S83" s="72">
        <f>S82/R82-1</f>
        <v>-0.13548387096774195</v>
      </c>
      <c r="T83" s="72">
        <f>T82/S82-1</f>
        <v>0.31641791044776113</v>
      </c>
      <c r="U83" s="72">
        <f>U82/T82-1</f>
        <v>-2.6077097505668889E-2</v>
      </c>
      <c r="V83" s="24"/>
      <c r="W83" s="72">
        <f>W82/U82-1</f>
        <v>0.16181606519208391</v>
      </c>
      <c r="X83" s="72">
        <f>X82/W82-1</f>
        <v>-8.0160320641282645E-3</v>
      </c>
      <c r="Y83" s="72">
        <f>Y82/X82-1</f>
        <v>3.4343434343434343E-2</v>
      </c>
      <c r="Z83" s="72">
        <f>Z82/Y82-1</f>
        <v>-2.1484375E-2</v>
      </c>
      <c r="AA83" s="24"/>
      <c r="AB83" s="72">
        <f>AB82/Z82-1</f>
        <v>-2.9940119760479056E-2</v>
      </c>
      <c r="AC83" s="72">
        <f>AC82/AB82-1</f>
        <v>0.13374485596707819</v>
      </c>
      <c r="AD83" s="72">
        <f>AD82/AC82-1</f>
        <v>3.7205081669691387E-2</v>
      </c>
      <c r="AE83" s="72">
        <f>AE82/AD82-1</f>
        <v>-0.18197725284339461</v>
      </c>
      <c r="AF83" s="24"/>
      <c r="AG83" s="72">
        <v>0.1155080213903743</v>
      </c>
      <c r="AH83" s="72">
        <v>2.0134228187919545E-2</v>
      </c>
      <c r="AI83" s="72">
        <v>-0.1071428571428571</v>
      </c>
      <c r="AJ83" s="72">
        <v>-0.22210526315789469</v>
      </c>
      <c r="AK83" s="24"/>
      <c r="AL83" s="72">
        <v>0.30040595399188086</v>
      </c>
      <c r="AM83" s="72">
        <v>-0.12591050988553587</v>
      </c>
      <c r="AN83" s="72">
        <v>0.25</v>
      </c>
      <c r="AO83" s="72">
        <v>-0.15333333333333332</v>
      </c>
      <c r="AP83" s="24"/>
      <c r="AQ83" s="72">
        <v>3.7120359955005622E-2</v>
      </c>
      <c r="AR83" s="72">
        <v>-5.6399132321041212E-2</v>
      </c>
      <c r="AS83" s="72">
        <v>3.6781609195402298E-2</v>
      </c>
      <c r="AT83" s="72">
        <v>-7.7605321507760561E-2</v>
      </c>
      <c r="AU83" s="24"/>
      <c r="AV83" s="72">
        <v>-7.2115384615384359E-3</v>
      </c>
      <c r="AW83" s="72">
        <v>5.9322033898305149E-2</v>
      </c>
      <c r="AX83" s="72">
        <v>0.12228571428571433</v>
      </c>
      <c r="AY83" s="72">
        <v>-0.14256619144602856</v>
      </c>
      <c r="AZ83" s="24"/>
      <c r="BA83" s="72">
        <v>7.9572446555819409E-2</v>
      </c>
      <c r="BB83" s="72">
        <v>-0.11331133113311331</v>
      </c>
      <c r="BC83" s="72">
        <v>9.553349875930528E-2</v>
      </c>
      <c r="BD83" s="72">
        <v>3.5107587768969495E-2</v>
      </c>
      <c r="BE83" s="24"/>
    </row>
    <row r="84" spans="1:57" ht="13.5" customHeight="1">
      <c r="A84" s="71" t="s">
        <v>8</v>
      </c>
      <c r="B84" s="24"/>
      <c r="C84" s="73"/>
      <c r="D84" s="73"/>
      <c r="E84" s="73"/>
      <c r="F84" s="73"/>
      <c r="G84" s="24">
        <f t="shared" ref="G84:N84" si="77">G82/B82-1</f>
        <v>0.13749752050794828</v>
      </c>
      <c r="H84" s="73">
        <f t="shared" si="77"/>
        <v>1.1245832552912534</v>
      </c>
      <c r="I84" s="73">
        <f t="shared" si="77"/>
        <v>-1.6522852070517291E-2</v>
      </c>
      <c r="J84" s="73">
        <f t="shared" si="77"/>
        <v>-8.4113541215339205E-2</v>
      </c>
      <c r="K84" s="73">
        <f t="shared" si="77"/>
        <v>0.13337404500805561</v>
      </c>
      <c r="L84" s="24">
        <f t="shared" si="77"/>
        <v>0.19134034100039354</v>
      </c>
      <c r="M84" s="73">
        <f t="shared" si="77"/>
        <v>-0.28943900063033645</v>
      </c>
      <c r="N84" s="73">
        <f t="shared" si="77"/>
        <v>0.36575317929428608</v>
      </c>
      <c r="O84" s="73">
        <f t="shared" ref="O84:Y84" si="78">O82/J82-1</f>
        <v>0.14201762977473065</v>
      </c>
      <c r="P84" s="73">
        <f t="shared" si="78"/>
        <v>-4.7207796591602347E-2</v>
      </c>
      <c r="Q84" s="24">
        <f t="shared" si="78"/>
        <v>1.1217510259917907E-2</v>
      </c>
      <c r="R84" s="73">
        <f t="shared" si="78"/>
        <v>-3.8461538461538436E-2</v>
      </c>
      <c r="S84" s="73">
        <f t="shared" si="78"/>
        <v>-0.31352459016393441</v>
      </c>
      <c r="T84" s="73">
        <f t="shared" si="78"/>
        <v>-0.24356775300171529</v>
      </c>
      <c r="U84" s="73">
        <f t="shared" si="78"/>
        <v>0.14839572192513373</v>
      </c>
      <c r="V84" s="24">
        <f t="shared" si="78"/>
        <v>-0.13798701298701299</v>
      </c>
      <c r="W84" s="73">
        <f t="shared" si="78"/>
        <v>0.28774193548387106</v>
      </c>
      <c r="X84" s="73">
        <f t="shared" si="78"/>
        <v>0.47761194029850751</v>
      </c>
      <c r="Y84" s="73">
        <f t="shared" si="78"/>
        <v>0.16099773242630389</v>
      </c>
      <c r="Z84" s="73">
        <f t="shared" ref="Z84:AE84" si="79">Z82/U82-1</f>
        <v>0.16647264260768346</v>
      </c>
      <c r="AA84" s="24">
        <f t="shared" si="79"/>
        <v>0.25988700564971756</v>
      </c>
      <c r="AB84" s="73">
        <f t="shared" si="79"/>
        <v>-2.605210420841686E-2</v>
      </c>
      <c r="AC84" s="73">
        <f t="shared" si="79"/>
        <v>0.11313131313131319</v>
      </c>
      <c r="AD84" s="73">
        <f t="shared" si="79"/>
        <v>0.1162109375</v>
      </c>
      <c r="AE84" s="73">
        <f t="shared" si="79"/>
        <v>-6.6866267465069851E-2</v>
      </c>
      <c r="AF84" s="24">
        <v>3.4379671150971625E-2</v>
      </c>
      <c r="AG84" s="73">
        <v>7.3045267489711962E-2</v>
      </c>
      <c r="AH84" s="73">
        <v>-3.4482758620689613E-2</v>
      </c>
      <c r="AI84" s="73">
        <v>-0.1688538932633421</v>
      </c>
      <c r="AJ84" s="73">
        <v>-0.20962566844919783</v>
      </c>
      <c r="AK84" s="24">
        <v>-8.574181117533719E-2</v>
      </c>
      <c r="AL84" s="73">
        <v>-7.8619367209971203E-2</v>
      </c>
      <c r="AM84" s="73">
        <v>-0.21052631578947367</v>
      </c>
      <c r="AN84" s="73">
        <v>0.10526315789473695</v>
      </c>
      <c r="AO84" s="73">
        <v>0.20297699594046015</v>
      </c>
      <c r="AP84" s="24">
        <v>-1.475237091675452E-2</v>
      </c>
      <c r="AQ84" s="73">
        <v>-4.0582726326742979E-2</v>
      </c>
      <c r="AR84" s="73">
        <v>3.5714285714285809E-2</v>
      </c>
      <c r="AS84" s="73">
        <v>-0.14095238095238094</v>
      </c>
      <c r="AT84" s="73">
        <v>-6.4116985376827862E-2</v>
      </c>
      <c r="AU84" s="24">
        <v>-5.7219251336898425E-2</v>
      </c>
      <c r="AV84" s="73">
        <v>-0.10412147505422997</v>
      </c>
      <c r="AW84" s="73">
        <v>5.7471264367816577E-3</v>
      </c>
      <c r="AX84" s="73">
        <v>8.8691796008869117E-2</v>
      </c>
      <c r="AY84" s="73">
        <v>1.2019230769230838E-2</v>
      </c>
      <c r="AZ84" s="24">
        <v>-2.8360748723765816E-4</v>
      </c>
      <c r="BA84" s="73">
        <v>0.1004842615012107</v>
      </c>
      <c r="BB84" s="73">
        <v>-7.8857142857142848E-2</v>
      </c>
      <c r="BC84" s="73">
        <v>-0.10081466395112015</v>
      </c>
      <c r="BD84" s="73">
        <v>8.5510688836104576E-2</v>
      </c>
      <c r="BE84" s="24">
        <v>-3.6879432624113972E-3</v>
      </c>
    </row>
    <row r="85" spans="1:57" ht="13.5" hidden="1" customHeight="1">
      <c r="A85" s="69" t="s">
        <v>49</v>
      </c>
      <c r="B85" s="37">
        <f>1385-B483</f>
        <v>1086</v>
      </c>
      <c r="C85" s="70">
        <f>333-C483</f>
        <v>263</v>
      </c>
      <c r="D85" s="70">
        <f>615-D483</f>
        <v>563</v>
      </c>
      <c r="E85" s="70">
        <f>374-E483</f>
        <v>297</v>
      </c>
      <c r="F85" s="70">
        <f>G85-E85-D85-C85</f>
        <v>509</v>
      </c>
      <c r="G85" s="37">
        <f>1897-G483</f>
        <v>1632</v>
      </c>
      <c r="H85" s="70">
        <f>415-H483</f>
        <v>395</v>
      </c>
      <c r="I85" s="70">
        <f>470-I483</f>
        <v>399</v>
      </c>
      <c r="J85" s="70">
        <f>404-78</f>
        <v>326</v>
      </c>
      <c r="K85" s="70">
        <f>L85-J85-I85-H85</f>
        <v>385</v>
      </c>
      <c r="L85" s="37">
        <f>1673-168</f>
        <v>1505</v>
      </c>
      <c r="M85" s="70">
        <v>360</v>
      </c>
      <c r="N85" s="70">
        <v>427</v>
      </c>
      <c r="O85" s="70">
        <v>381</v>
      </c>
      <c r="P85" s="70">
        <v>478</v>
      </c>
      <c r="Q85" s="37">
        <v>1645</v>
      </c>
      <c r="R85" s="70">
        <v>513</v>
      </c>
      <c r="S85" s="70">
        <v>495</v>
      </c>
      <c r="T85" s="70">
        <v>437</v>
      </c>
      <c r="U85" s="70">
        <f>V85-T85-S85-R85</f>
        <v>494</v>
      </c>
      <c r="V85" s="37">
        <v>1939</v>
      </c>
      <c r="W85" s="70">
        <v>475</v>
      </c>
      <c r="X85" s="70">
        <v>383</v>
      </c>
      <c r="Y85" s="70">
        <v>347</v>
      </c>
      <c r="Z85" s="70">
        <v>338</v>
      </c>
      <c r="AA85" s="37">
        <f>Z85+Y85+X85+W85</f>
        <v>1543</v>
      </c>
      <c r="AB85" s="70">
        <v>254</v>
      </c>
      <c r="AC85" s="70">
        <v>331</v>
      </c>
      <c r="AD85" s="70">
        <v>305</v>
      </c>
      <c r="AE85" s="70">
        <v>347</v>
      </c>
      <c r="AF85" s="37">
        <v>1237</v>
      </c>
      <c r="AG85" s="70">
        <v>318</v>
      </c>
      <c r="AH85" s="70">
        <v>338</v>
      </c>
      <c r="AI85" s="70">
        <v>317</v>
      </c>
      <c r="AJ85" s="70">
        <v>328</v>
      </c>
      <c r="AK85" s="37">
        <v>1301</v>
      </c>
      <c r="AL85" s="70">
        <v>392</v>
      </c>
      <c r="AM85" s="70">
        <v>490</v>
      </c>
      <c r="AN85" s="70">
        <v>381</v>
      </c>
      <c r="AO85" s="70">
        <v>354</v>
      </c>
      <c r="AP85" s="37">
        <v>1617</v>
      </c>
      <c r="AQ85" s="70">
        <v>398</v>
      </c>
      <c r="AR85" s="70">
        <v>362</v>
      </c>
      <c r="AS85" s="70">
        <v>338</v>
      </c>
      <c r="AT85" s="70"/>
      <c r="AU85" s="37"/>
      <c r="AV85" s="70">
        <v>398</v>
      </c>
      <c r="AW85" s="70">
        <v>398</v>
      </c>
      <c r="AX85" s="70">
        <v>398</v>
      </c>
      <c r="AY85" s="70"/>
      <c r="AZ85" s="37"/>
      <c r="BA85" s="70">
        <v>398</v>
      </c>
      <c r="BB85" s="70">
        <v>398</v>
      </c>
      <c r="BC85" s="70">
        <v>398</v>
      </c>
      <c r="BD85" s="70"/>
      <c r="BE85" s="37"/>
    </row>
    <row r="86" spans="1:57" ht="13.5" hidden="1" customHeight="1">
      <c r="A86" s="71" t="s">
        <v>7</v>
      </c>
      <c r="B86" s="24"/>
      <c r="C86" s="72"/>
      <c r="D86" s="72">
        <f>D85/C85-1</f>
        <v>1.1406844106463878</v>
      </c>
      <c r="E86" s="72">
        <f>E85/D85-1</f>
        <v>-0.47246891651865008</v>
      </c>
      <c r="F86" s="72">
        <f>F85/E85-1</f>
        <v>0.71380471380471389</v>
      </c>
      <c r="G86" s="24"/>
      <c r="H86" s="72">
        <f>H85/F85-1</f>
        <v>-0.22396856581532421</v>
      </c>
      <c r="I86" s="72">
        <f>I85/H85-1</f>
        <v>1.0126582278481067E-2</v>
      </c>
      <c r="J86" s="72">
        <f>J85/I85-1</f>
        <v>-0.18295739348370932</v>
      </c>
      <c r="K86" s="72">
        <f>K85/J85-1</f>
        <v>0.18098159509202461</v>
      </c>
      <c r="L86" s="24"/>
      <c r="M86" s="72">
        <f>M85/K85-1</f>
        <v>-6.4935064935064957E-2</v>
      </c>
      <c r="N86" s="72">
        <f>N85/M85-1</f>
        <v>0.18611111111111112</v>
      </c>
      <c r="O86" s="72">
        <f>O85/N85-1</f>
        <v>-0.10772833723653397</v>
      </c>
      <c r="P86" s="72">
        <f>P85/O85-1</f>
        <v>0.25459317585301844</v>
      </c>
      <c r="Q86" s="24"/>
      <c r="R86" s="72">
        <f>R85/P85-1</f>
        <v>7.322175732217584E-2</v>
      </c>
      <c r="S86" s="72">
        <f>S85/R85-1</f>
        <v>-3.5087719298245612E-2</v>
      </c>
      <c r="T86" s="72">
        <f>T85/S85-1</f>
        <v>-0.11717171717171715</v>
      </c>
      <c r="U86" s="72">
        <f>U85/T85-1</f>
        <v>0.13043478260869557</v>
      </c>
      <c r="V86" s="24"/>
      <c r="W86" s="72">
        <f>W85/U85-1</f>
        <v>-3.8461538461538436E-2</v>
      </c>
      <c r="X86" s="72">
        <f>X85/W85-1</f>
        <v>-0.19368421052631579</v>
      </c>
      <c r="Y86" s="72">
        <f>Y85/X85-1</f>
        <v>-9.3994778067885143E-2</v>
      </c>
      <c r="Z86" s="72">
        <f>Z85/Y85-1</f>
        <v>-2.5936599423631135E-2</v>
      </c>
      <c r="AA86" s="24"/>
      <c r="AB86" s="72">
        <f>AB85/Z85-1</f>
        <v>-0.24852071005917165</v>
      </c>
      <c r="AC86" s="72">
        <f>AC85/AB85-1</f>
        <v>0.3031496062992125</v>
      </c>
      <c r="AD86" s="72">
        <f>AD85/AC85-1</f>
        <v>-7.8549848942598199E-2</v>
      </c>
      <c r="AE86" s="72">
        <f>AE85/AD85-1</f>
        <v>0.13770491803278695</v>
      </c>
      <c r="AF86" s="24"/>
      <c r="AG86" s="72">
        <v>-8.3573487031700311E-2</v>
      </c>
      <c r="AH86" s="72">
        <v>6.2893081761006275E-2</v>
      </c>
      <c r="AI86" s="72">
        <v>-6.2130177514792884E-2</v>
      </c>
      <c r="AJ86" s="72">
        <v>3.4700315457413256E-2</v>
      </c>
      <c r="AK86" s="24"/>
      <c r="AL86" s="72">
        <v>0.19512195121951215</v>
      </c>
      <c r="AM86" s="72">
        <v>0.25</v>
      </c>
      <c r="AN86" s="72">
        <v>-0.22244897959183674</v>
      </c>
      <c r="AO86" s="72">
        <v>-7.086614173228345E-2</v>
      </c>
      <c r="AP86" s="24"/>
      <c r="AQ86" s="72">
        <v>0.12429378531073443</v>
      </c>
      <c r="AR86" s="72">
        <v>-9.0452261306532611E-2</v>
      </c>
      <c r="AS86" s="72">
        <v>-6.6298342541436517E-2</v>
      </c>
      <c r="AT86" s="72"/>
      <c r="AU86" s="24"/>
      <c r="AV86" s="72" t="e">
        <v>#DIV/0!</v>
      </c>
      <c r="AW86" s="72" t="e">
        <v>#DIV/0!</v>
      </c>
      <c r="AX86" s="72">
        <v>0</v>
      </c>
      <c r="AY86" s="72"/>
      <c r="AZ86" s="24"/>
      <c r="BA86" s="72" t="e">
        <v>#DIV/0!</v>
      </c>
      <c r="BB86" s="72" t="e">
        <v>#DIV/0!</v>
      </c>
      <c r="BC86" s="72">
        <v>0</v>
      </c>
      <c r="BD86" s="72"/>
      <c r="BE86" s="24"/>
    </row>
    <row r="87" spans="1:57" ht="13.5" hidden="1" customHeight="1">
      <c r="A87" s="71" t="s">
        <v>8</v>
      </c>
      <c r="B87" s="24"/>
      <c r="C87" s="73"/>
      <c r="D87" s="73"/>
      <c r="E87" s="73"/>
      <c r="F87" s="73"/>
      <c r="G87" s="24">
        <f t="shared" ref="G87:N87" si="80">G85/B85-1</f>
        <v>0.50276243093922646</v>
      </c>
      <c r="H87" s="73">
        <f t="shared" si="80"/>
        <v>0.50190114068441072</v>
      </c>
      <c r="I87" s="73">
        <f t="shared" si="80"/>
        <v>-0.29129662522202482</v>
      </c>
      <c r="J87" s="73">
        <f t="shared" si="80"/>
        <v>9.7643097643097754E-2</v>
      </c>
      <c r="K87" s="73">
        <f t="shared" si="80"/>
        <v>-0.24361493123772104</v>
      </c>
      <c r="L87" s="24">
        <f t="shared" si="80"/>
        <v>-7.7818627450980338E-2</v>
      </c>
      <c r="M87" s="73">
        <f t="shared" si="80"/>
        <v>-8.8607594936708889E-2</v>
      </c>
      <c r="N87" s="73">
        <f t="shared" si="80"/>
        <v>7.0175438596491224E-2</v>
      </c>
      <c r="O87" s="73">
        <f t="shared" ref="O87:Y87" si="81">O85/J85-1</f>
        <v>0.16871165644171771</v>
      </c>
      <c r="P87" s="73">
        <f t="shared" si="81"/>
        <v>0.24155844155844153</v>
      </c>
      <c r="Q87" s="24">
        <f t="shared" si="81"/>
        <v>9.3023255813953432E-2</v>
      </c>
      <c r="R87" s="73">
        <f t="shared" si="81"/>
        <v>0.42500000000000004</v>
      </c>
      <c r="S87" s="73">
        <f t="shared" si="81"/>
        <v>0.15925058548009363</v>
      </c>
      <c r="T87" s="73">
        <f t="shared" si="81"/>
        <v>0.14698162729658804</v>
      </c>
      <c r="U87" s="73">
        <f t="shared" si="81"/>
        <v>3.3472803347280422E-2</v>
      </c>
      <c r="V87" s="24">
        <f t="shared" si="81"/>
        <v>0.17872340425531918</v>
      </c>
      <c r="W87" s="73">
        <f t="shared" si="81"/>
        <v>-7.407407407407407E-2</v>
      </c>
      <c r="X87" s="73">
        <f t="shared" si="81"/>
        <v>-0.22626262626262628</v>
      </c>
      <c r="Y87" s="73">
        <f t="shared" si="81"/>
        <v>-0.20594965675057209</v>
      </c>
      <c r="Z87" s="73">
        <f t="shared" ref="Z87:AE87" si="82">Z85/U85-1</f>
        <v>-0.31578947368421051</v>
      </c>
      <c r="AA87" s="24">
        <f t="shared" si="82"/>
        <v>-0.20422898401237755</v>
      </c>
      <c r="AB87" s="73">
        <f t="shared" si="82"/>
        <v>-0.46526315789473682</v>
      </c>
      <c r="AC87" s="73">
        <f t="shared" si="82"/>
        <v>-0.13577023498694518</v>
      </c>
      <c r="AD87" s="73">
        <f t="shared" si="82"/>
        <v>-0.12103746397694526</v>
      </c>
      <c r="AE87" s="73">
        <f t="shared" si="82"/>
        <v>2.6627218934911268E-2</v>
      </c>
      <c r="AF87" s="24">
        <v>-0.19831497083603367</v>
      </c>
      <c r="AG87" s="73">
        <v>0.25196850393700787</v>
      </c>
      <c r="AH87" s="73">
        <v>2.114803625377637E-2</v>
      </c>
      <c r="AI87" s="73">
        <v>3.9344262295081922E-2</v>
      </c>
      <c r="AJ87" s="73">
        <v>-5.4755043227665667E-2</v>
      </c>
      <c r="AK87" s="24">
        <v>5.1738075990299004E-2</v>
      </c>
      <c r="AL87" s="73">
        <v>0.23270440251572322</v>
      </c>
      <c r="AM87" s="73">
        <v>0.4497041420118344</v>
      </c>
      <c r="AN87" s="73">
        <v>0.20189274447949535</v>
      </c>
      <c r="AO87" s="73">
        <v>7.92682926829269E-2</v>
      </c>
      <c r="AP87" s="24">
        <v>0.24289008455034589</v>
      </c>
      <c r="AQ87" s="73">
        <v>1.5306122448979664E-2</v>
      </c>
      <c r="AR87" s="73">
        <v>-0.26122448979591839</v>
      </c>
      <c r="AS87" s="73">
        <v>-0.11286089238845143</v>
      </c>
      <c r="AT87" s="73"/>
      <c r="AU87" s="24"/>
      <c r="AV87" s="73">
        <v>0</v>
      </c>
      <c r="AW87" s="73">
        <v>9.9447513812154664E-2</v>
      </c>
      <c r="AX87" s="73">
        <v>0.1775147928994083</v>
      </c>
      <c r="AY87" s="73"/>
      <c r="AZ87" s="24"/>
      <c r="BA87" s="73">
        <v>0</v>
      </c>
      <c r="BB87" s="73">
        <v>0</v>
      </c>
      <c r="BC87" s="73">
        <v>0</v>
      </c>
      <c r="BD87" s="73"/>
      <c r="BE87" s="24"/>
    </row>
    <row r="88" spans="1:57" ht="13.5" customHeight="1">
      <c r="A88" s="69" t="s">
        <v>50</v>
      </c>
      <c r="B88" s="37">
        <f>(273+973)-B486</f>
        <v>991.45</v>
      </c>
      <c r="C88" s="70">
        <f>59+307-C486</f>
        <v>286.60000000000002</v>
      </c>
      <c r="D88" s="70">
        <f>310+76-D486</f>
        <v>346.44600000000003</v>
      </c>
      <c r="E88" s="70">
        <f>250+345-E486</f>
        <v>539.15</v>
      </c>
      <c r="F88" s="70">
        <f>G88-E88-D88-C88</f>
        <v>359.26300000000003</v>
      </c>
      <c r="G88" s="37">
        <f>469+1300-G486</f>
        <v>1531.4590000000001</v>
      </c>
      <c r="H88" s="70">
        <f>63+408-H486</f>
        <v>409.56400000000002</v>
      </c>
      <c r="I88" s="70">
        <f>93+348-I486</f>
        <v>381.08800000000002</v>
      </c>
      <c r="J88" s="70">
        <f>404-20</f>
        <v>384</v>
      </c>
      <c r="K88" s="70">
        <f>L88-J88-I88-H88</f>
        <v>360.34800000000001</v>
      </c>
      <c r="L88" s="37">
        <f>(349+1363)-177</f>
        <v>1535</v>
      </c>
      <c r="M88" s="70">
        <f>88+281</f>
        <v>369</v>
      </c>
      <c r="N88" s="70">
        <f>326+70</f>
        <v>396</v>
      </c>
      <c r="O88" s="70">
        <f>76+300</f>
        <v>376</v>
      </c>
      <c r="P88" s="70">
        <f>Q88-O88-N88-M88</f>
        <v>481</v>
      </c>
      <c r="Q88" s="37">
        <f>343+1279</f>
        <v>1622</v>
      </c>
      <c r="R88" s="70">
        <f>78+422</f>
        <v>500</v>
      </c>
      <c r="S88" s="70">
        <f>80+375</f>
        <v>455</v>
      </c>
      <c r="T88" s="70">
        <f>86+393</f>
        <v>479</v>
      </c>
      <c r="U88" s="70">
        <f>V88-T88-S88-R88</f>
        <v>469</v>
      </c>
      <c r="V88" s="37">
        <f>355+1548</f>
        <v>1903</v>
      </c>
      <c r="W88" s="70">
        <f>75+385</f>
        <v>460</v>
      </c>
      <c r="X88" s="70">
        <f>67+315</f>
        <v>382</v>
      </c>
      <c r="Y88" s="70">
        <f>58+309</f>
        <v>367</v>
      </c>
      <c r="Z88" s="70">
        <f>AA88-Y88-X88-W88</f>
        <v>331</v>
      </c>
      <c r="AA88" s="37">
        <f>269+1271</f>
        <v>1540</v>
      </c>
      <c r="AB88" s="70">
        <f>44+245</f>
        <v>289</v>
      </c>
      <c r="AC88" s="70">
        <f>49+252</f>
        <v>301</v>
      </c>
      <c r="AD88" s="70">
        <f>270+50</f>
        <v>320</v>
      </c>
      <c r="AE88" s="70">
        <f>AF88-AD88-AC88-AB88</f>
        <v>318</v>
      </c>
      <c r="AF88" s="37">
        <v>1228</v>
      </c>
      <c r="AG88" s="70">
        <v>315</v>
      </c>
      <c r="AH88" s="70">
        <v>323</v>
      </c>
      <c r="AI88" s="70">
        <v>322</v>
      </c>
      <c r="AJ88" s="70">
        <v>315</v>
      </c>
      <c r="AK88" s="37">
        <v>1275</v>
      </c>
      <c r="AL88" s="70">
        <v>368</v>
      </c>
      <c r="AM88" s="70">
        <v>511</v>
      </c>
      <c r="AN88" s="70">
        <v>427</v>
      </c>
      <c r="AO88" s="70">
        <v>329</v>
      </c>
      <c r="AP88" s="37">
        <v>1635</v>
      </c>
      <c r="AQ88" s="70">
        <v>345</v>
      </c>
      <c r="AR88" s="70">
        <v>387</v>
      </c>
      <c r="AS88" s="70">
        <v>349</v>
      </c>
      <c r="AT88" s="70">
        <v>335</v>
      </c>
      <c r="AU88" s="37">
        <v>1416</v>
      </c>
      <c r="AV88" s="70">
        <v>380</v>
      </c>
      <c r="AW88" s="70">
        <v>406</v>
      </c>
      <c r="AX88" s="70">
        <v>353</v>
      </c>
      <c r="AY88" s="70">
        <v>391</v>
      </c>
      <c r="AZ88" s="37">
        <v>1530</v>
      </c>
      <c r="BA88" s="70">
        <v>368</v>
      </c>
      <c r="BB88" s="70">
        <v>531</v>
      </c>
      <c r="BC88" s="70">
        <v>412</v>
      </c>
      <c r="BD88" s="70">
        <v>416</v>
      </c>
      <c r="BE88" s="37">
        <v>1727</v>
      </c>
    </row>
    <row r="89" spans="1:57" ht="13.5" customHeight="1">
      <c r="A89" s="71" t="s">
        <v>7</v>
      </c>
      <c r="B89" s="24"/>
      <c r="C89" s="72"/>
      <c r="D89" s="72">
        <f>D88/C88-1</f>
        <v>0.2088136775994418</v>
      </c>
      <c r="E89" s="72">
        <f>E88/D88-1</f>
        <v>0.55623098549268835</v>
      </c>
      <c r="F89" s="72">
        <f>F88/E88-1</f>
        <v>-0.33364926272836859</v>
      </c>
      <c r="G89" s="24"/>
      <c r="H89" s="72">
        <f>H88/F88-1</f>
        <v>0.14001163493039903</v>
      </c>
      <c r="I89" s="72">
        <f>I88/H88-1</f>
        <v>-6.952759519879681E-2</v>
      </c>
      <c r="J89" s="72">
        <f>J88/I88-1</f>
        <v>7.6412797044251857E-3</v>
      </c>
      <c r="K89" s="72">
        <f>K88/J88-1</f>
        <v>-6.1593750000000003E-2</v>
      </c>
      <c r="L89" s="24"/>
      <c r="M89" s="72">
        <f>M88/K88-1</f>
        <v>2.4010123547237638E-2</v>
      </c>
      <c r="N89" s="72">
        <f>N88/M88-1</f>
        <v>7.3170731707317138E-2</v>
      </c>
      <c r="O89" s="72">
        <f>O88/N88-1</f>
        <v>-5.0505050505050497E-2</v>
      </c>
      <c r="P89" s="72">
        <f>P88/O88-1</f>
        <v>0.2792553191489362</v>
      </c>
      <c r="Q89" s="24"/>
      <c r="R89" s="72">
        <f>R88/P88-1</f>
        <v>3.9501039501039559E-2</v>
      </c>
      <c r="S89" s="72">
        <f>S88/R88-1</f>
        <v>-8.9999999999999969E-2</v>
      </c>
      <c r="T89" s="72">
        <f>T88/S88-1</f>
        <v>5.2747252747252782E-2</v>
      </c>
      <c r="U89" s="72">
        <f>U88/T88-1</f>
        <v>-2.087682672233826E-2</v>
      </c>
      <c r="V89" s="24"/>
      <c r="W89" s="72">
        <f>W88/U88-1</f>
        <v>-1.9189765458422214E-2</v>
      </c>
      <c r="X89" s="72">
        <f>X88/W88-1</f>
        <v>-0.16956521739130437</v>
      </c>
      <c r="Y89" s="72">
        <f>Y88/X88-1</f>
        <v>-3.9267015706806241E-2</v>
      </c>
      <c r="Z89" s="72">
        <f>Z88/Y88-1</f>
        <v>-9.8092643051771122E-2</v>
      </c>
      <c r="AA89" s="24"/>
      <c r="AB89" s="72">
        <f>AB88/Z88-1</f>
        <v>-0.12688821752265866</v>
      </c>
      <c r="AC89" s="72">
        <f>AC88/AB88-1</f>
        <v>4.1522491349480939E-2</v>
      </c>
      <c r="AD89" s="72">
        <f>AD88/AC88-1</f>
        <v>6.3122923588039948E-2</v>
      </c>
      <c r="AE89" s="72">
        <f>AE88/AD88-1</f>
        <v>-6.2499999999999778E-3</v>
      </c>
      <c r="AF89" s="24"/>
      <c r="AG89" s="72">
        <v>-9.4339622641509413E-3</v>
      </c>
      <c r="AH89" s="72">
        <v>2.5396825396825307E-2</v>
      </c>
      <c r="AI89" s="72">
        <v>-3.0959752321981782E-3</v>
      </c>
      <c r="AJ89" s="72">
        <v>-2.1739130434782594E-2</v>
      </c>
      <c r="AK89" s="24"/>
      <c r="AL89" s="72">
        <v>0.16825396825396832</v>
      </c>
      <c r="AM89" s="72">
        <v>0.38858695652173902</v>
      </c>
      <c r="AN89" s="72">
        <v>-0.16438356164383561</v>
      </c>
      <c r="AO89" s="72">
        <v>-0.22950819672131151</v>
      </c>
      <c r="AP89" s="24"/>
      <c r="AQ89" s="72">
        <v>4.8632218844984809E-2</v>
      </c>
      <c r="AR89" s="72">
        <v>0.12173913043478257</v>
      </c>
      <c r="AS89" s="72">
        <v>-9.8191214470284227E-2</v>
      </c>
      <c r="AT89" s="72">
        <v>-4.011461318051579E-2</v>
      </c>
      <c r="AU89" s="24"/>
      <c r="AV89" s="72">
        <v>0.13432835820895517</v>
      </c>
      <c r="AW89" s="72">
        <v>6.8421052631578938E-2</v>
      </c>
      <c r="AX89" s="72">
        <v>-0.13054187192118227</v>
      </c>
      <c r="AY89" s="72">
        <v>0.10764872521246449</v>
      </c>
      <c r="AZ89" s="24"/>
      <c r="BA89" s="72">
        <v>-5.8823529411764719E-2</v>
      </c>
      <c r="BB89" s="72">
        <v>0.44293478260869557</v>
      </c>
      <c r="BC89" s="72">
        <v>-0.22410546139359699</v>
      </c>
      <c r="BD89" s="72">
        <v>9.7087378640776656E-3</v>
      </c>
      <c r="BE89" s="24"/>
    </row>
    <row r="90" spans="1:57" ht="13.5" customHeight="1">
      <c r="A90" s="71" t="s">
        <v>8</v>
      </c>
      <c r="B90" s="24"/>
      <c r="C90" s="73"/>
      <c r="D90" s="73"/>
      <c r="E90" s="73"/>
      <c r="F90" s="73"/>
      <c r="G90" s="24">
        <f t="shared" ref="G90:N90" si="83">G88/B88-1</f>
        <v>0.54466589338847138</v>
      </c>
      <c r="H90" s="73">
        <f t="shared" si="83"/>
        <v>0.42904396371249121</v>
      </c>
      <c r="I90" s="73">
        <f t="shared" si="83"/>
        <v>9.9992495222920752E-2</v>
      </c>
      <c r="J90" s="73">
        <f t="shared" si="83"/>
        <v>-0.28776778262079195</v>
      </c>
      <c r="K90" s="73">
        <f t="shared" si="83"/>
        <v>3.0200716466766142E-3</v>
      </c>
      <c r="L90" s="24">
        <f t="shared" si="83"/>
        <v>2.3121742077325536E-3</v>
      </c>
      <c r="M90" s="73">
        <f t="shared" si="83"/>
        <v>-9.9041907980193633E-2</v>
      </c>
      <c r="N90" s="73">
        <f t="shared" si="83"/>
        <v>3.9130069695188396E-2</v>
      </c>
      <c r="O90" s="73">
        <f t="shared" ref="O90:Y90" si="84">O88/J88-1</f>
        <v>-2.083333333333337E-2</v>
      </c>
      <c r="P90" s="73">
        <f t="shared" si="84"/>
        <v>0.33482078435290319</v>
      </c>
      <c r="Q90" s="24">
        <f t="shared" si="84"/>
        <v>5.6677524429967319E-2</v>
      </c>
      <c r="R90" s="73">
        <f t="shared" si="84"/>
        <v>0.3550135501355014</v>
      </c>
      <c r="S90" s="73">
        <f t="shared" si="84"/>
        <v>0.14898989898989901</v>
      </c>
      <c r="T90" s="73">
        <f t="shared" si="84"/>
        <v>0.27393617021276606</v>
      </c>
      <c r="U90" s="73">
        <f t="shared" si="84"/>
        <v>-2.4948024948024949E-2</v>
      </c>
      <c r="V90" s="24">
        <f t="shared" si="84"/>
        <v>0.17324290998766956</v>
      </c>
      <c r="W90" s="73">
        <f t="shared" si="84"/>
        <v>-7.999999999999996E-2</v>
      </c>
      <c r="X90" s="73">
        <f t="shared" si="84"/>
        <v>-0.16043956043956042</v>
      </c>
      <c r="Y90" s="73">
        <f t="shared" si="84"/>
        <v>-0.23382045929018791</v>
      </c>
      <c r="Z90" s="73">
        <f t="shared" ref="Z90:AE90" si="85">Z88/U88-1</f>
        <v>-0.29424307036247332</v>
      </c>
      <c r="AA90" s="24">
        <f t="shared" si="85"/>
        <v>-0.19075144508670516</v>
      </c>
      <c r="AB90" s="73">
        <f t="shared" si="85"/>
        <v>-0.37173913043478257</v>
      </c>
      <c r="AC90" s="73">
        <f t="shared" si="85"/>
        <v>-0.2120418848167539</v>
      </c>
      <c r="AD90" s="73">
        <f t="shared" si="85"/>
        <v>-0.12806539509536785</v>
      </c>
      <c r="AE90" s="73">
        <f t="shared" si="85"/>
        <v>-3.92749244712991E-2</v>
      </c>
      <c r="AF90" s="24">
        <v>-0.20259740259740255</v>
      </c>
      <c r="AG90" s="73">
        <v>8.9965397923875479E-2</v>
      </c>
      <c r="AH90" s="73">
        <v>7.3089700996677776E-2</v>
      </c>
      <c r="AI90" s="73">
        <v>6.2500000000000888E-3</v>
      </c>
      <c r="AJ90" s="73">
        <v>-9.4339622641509413E-3</v>
      </c>
      <c r="AK90" s="24">
        <v>3.8273615635179059E-2</v>
      </c>
      <c r="AL90" s="73">
        <v>0.16825396825396832</v>
      </c>
      <c r="AM90" s="73">
        <v>0.58204334365325083</v>
      </c>
      <c r="AN90" s="73">
        <v>0.32608695652173902</v>
      </c>
      <c r="AO90" s="73">
        <v>4.4444444444444509E-2</v>
      </c>
      <c r="AP90" s="24">
        <v>0.2823529411764707</v>
      </c>
      <c r="AQ90" s="73">
        <v>-6.25E-2</v>
      </c>
      <c r="AR90" s="73">
        <v>-0.24266144814090018</v>
      </c>
      <c r="AS90" s="73">
        <v>-0.18266978922716626</v>
      </c>
      <c r="AT90" s="73">
        <v>1.8237082066869359E-2</v>
      </c>
      <c r="AU90" s="24">
        <v>-0.13394495412844032</v>
      </c>
      <c r="AV90" s="73">
        <v>0.10144927536231885</v>
      </c>
      <c r="AW90" s="73">
        <v>4.9095607235142058E-2</v>
      </c>
      <c r="AX90" s="73">
        <v>1.1461318051575908E-2</v>
      </c>
      <c r="AY90" s="73">
        <v>0.16716417910447756</v>
      </c>
      <c r="AZ90" s="24">
        <v>8.0508474576271194E-2</v>
      </c>
      <c r="BA90" s="73">
        <v>-3.157894736842104E-2</v>
      </c>
      <c r="BB90" s="73">
        <v>0.30788177339901468</v>
      </c>
      <c r="BC90" s="73">
        <v>0.16713881019830024</v>
      </c>
      <c r="BD90" s="73">
        <v>6.3938618925831303E-2</v>
      </c>
      <c r="BE90" s="24">
        <v>0.12875816993464051</v>
      </c>
    </row>
    <row r="91" spans="1:57" ht="13.5" customHeight="1">
      <c r="A91" s="69" t="s">
        <v>246</v>
      </c>
      <c r="B91" s="37">
        <v>177</v>
      </c>
      <c r="C91" s="70">
        <v>61</v>
      </c>
      <c r="D91" s="70">
        <v>26</v>
      </c>
      <c r="E91" s="70">
        <v>14</v>
      </c>
      <c r="F91" s="70">
        <f>G91-E91-D91-C91</f>
        <v>46</v>
      </c>
      <c r="G91" s="37">
        <v>147</v>
      </c>
      <c r="H91" s="70">
        <v>51</v>
      </c>
      <c r="I91" s="70">
        <v>11</v>
      </c>
      <c r="J91" s="70">
        <v>20</v>
      </c>
      <c r="K91" s="70">
        <f>L91-J91-I91-H91</f>
        <v>8</v>
      </c>
      <c r="L91" s="37">
        <v>90</v>
      </c>
      <c r="M91" s="70">
        <v>15</v>
      </c>
      <c r="N91" s="70">
        <v>26</v>
      </c>
      <c r="O91" s="70">
        <v>48</v>
      </c>
      <c r="P91" s="70">
        <f>Q91-O91-N91-M91</f>
        <v>44</v>
      </c>
      <c r="Q91" s="37">
        <v>133</v>
      </c>
      <c r="R91" s="70">
        <v>187</v>
      </c>
      <c r="S91" s="70">
        <v>49</v>
      </c>
      <c r="T91" s="70">
        <v>105</v>
      </c>
      <c r="U91" s="70">
        <f>V91-T91-S91-R91</f>
        <v>-75</v>
      </c>
      <c r="V91" s="37">
        <v>266</v>
      </c>
      <c r="W91" s="70">
        <v>47</v>
      </c>
      <c r="X91" s="70">
        <v>22</v>
      </c>
      <c r="Y91" s="70">
        <v>97</v>
      </c>
      <c r="Z91" s="70">
        <f>AA91-Y91-X91-W91</f>
        <v>139</v>
      </c>
      <c r="AA91" s="37">
        <v>305</v>
      </c>
      <c r="AB91" s="70">
        <v>43</v>
      </c>
      <c r="AC91" s="70">
        <v>123</v>
      </c>
      <c r="AD91" s="70">
        <v>53</v>
      </c>
      <c r="AE91" s="70">
        <f>AF91-AD91-AC91-AB91</f>
        <v>93</v>
      </c>
      <c r="AF91" s="37">
        <v>312</v>
      </c>
      <c r="AG91" s="70">
        <v>29</v>
      </c>
      <c r="AH91" s="70">
        <v>46</v>
      </c>
      <c r="AI91" s="70">
        <v>72</v>
      </c>
      <c r="AJ91" s="70">
        <v>83</v>
      </c>
      <c r="AK91" s="37">
        <v>230</v>
      </c>
      <c r="AL91" s="70">
        <v>13</v>
      </c>
      <c r="AM91" s="70">
        <v>84</v>
      </c>
      <c r="AN91" s="70">
        <v>22</v>
      </c>
      <c r="AO91" s="70">
        <v>32</v>
      </c>
      <c r="AP91" s="37">
        <v>151</v>
      </c>
      <c r="AQ91" s="70">
        <v>42</v>
      </c>
      <c r="AR91" s="70">
        <v>56</v>
      </c>
      <c r="AS91" s="70">
        <v>24</v>
      </c>
      <c r="AT91" s="70">
        <v>16</v>
      </c>
      <c r="AU91" s="37">
        <v>138</v>
      </c>
      <c r="AV91" s="70">
        <v>10</v>
      </c>
      <c r="AW91" s="70">
        <v>18</v>
      </c>
      <c r="AX91" s="70">
        <v>48</v>
      </c>
      <c r="AY91" s="70">
        <v>22</v>
      </c>
      <c r="AZ91" s="37">
        <v>98</v>
      </c>
      <c r="BA91" s="70">
        <v>8</v>
      </c>
      <c r="BB91" s="152">
        <v>-57</v>
      </c>
      <c r="BC91" s="70">
        <v>12</v>
      </c>
      <c r="BD91" s="70">
        <v>272</v>
      </c>
      <c r="BE91" s="37">
        <v>235</v>
      </c>
    </row>
    <row r="92" spans="1:57" ht="13.5" customHeight="1">
      <c r="A92" s="71" t="s">
        <v>7</v>
      </c>
      <c r="B92" s="24"/>
      <c r="C92" s="72"/>
      <c r="D92" s="72">
        <f>D91/C91-1</f>
        <v>-0.57377049180327866</v>
      </c>
      <c r="E92" s="72">
        <f>E91/D91-1</f>
        <v>-0.46153846153846156</v>
      </c>
      <c r="F92" s="72">
        <f>F91/E91-1</f>
        <v>2.2857142857142856</v>
      </c>
      <c r="G92" s="24"/>
      <c r="H92" s="72">
        <f>H91/F91-1</f>
        <v>0.10869565217391308</v>
      </c>
      <c r="I92" s="72">
        <f>I91/H91-1</f>
        <v>-0.78431372549019607</v>
      </c>
      <c r="J92" s="72">
        <f>J91/I91-1</f>
        <v>0.81818181818181812</v>
      </c>
      <c r="K92" s="72">
        <f>K91/J91-1</f>
        <v>-0.6</v>
      </c>
      <c r="L92" s="24"/>
      <c r="M92" s="72">
        <f>M91/K91-1</f>
        <v>0.875</v>
      </c>
      <c r="N92" s="72">
        <f>N91/M91-1</f>
        <v>0.73333333333333339</v>
      </c>
      <c r="O92" s="72">
        <f>O91/N91-1</f>
        <v>0.84615384615384626</v>
      </c>
      <c r="P92" s="72">
        <f>P91/O91-1</f>
        <v>-8.333333333333337E-2</v>
      </c>
      <c r="Q92" s="24"/>
      <c r="R92" s="72">
        <f>R91/P91-1</f>
        <v>3.25</v>
      </c>
      <c r="S92" s="72">
        <f>S91/R91-1</f>
        <v>-0.73796791443850274</v>
      </c>
      <c r="T92" s="72">
        <f>T91/S91-1</f>
        <v>1.1428571428571428</v>
      </c>
      <c r="U92" s="72">
        <f>U91/T91-1</f>
        <v>-1.7142857142857144</v>
      </c>
      <c r="V92" s="24"/>
      <c r="W92" s="72">
        <f>W91/U91-1</f>
        <v>-1.6266666666666667</v>
      </c>
      <c r="X92" s="72">
        <f>X91/W91-1</f>
        <v>-0.53191489361702127</v>
      </c>
      <c r="Y92" s="72">
        <f>Y91/X91-1</f>
        <v>3.4090909090909092</v>
      </c>
      <c r="Z92" s="72">
        <f>Z91/Y91-1</f>
        <v>0.4329896907216495</v>
      </c>
      <c r="AA92" s="24"/>
      <c r="AB92" s="72">
        <f>AB91/Z91-1</f>
        <v>-0.69064748201438841</v>
      </c>
      <c r="AC92" s="72">
        <f>AC91/AB91-1</f>
        <v>1.86046511627907</v>
      </c>
      <c r="AD92" s="72">
        <f>AD91/AC91-1</f>
        <v>-0.56910569105691056</v>
      </c>
      <c r="AE92" s="72">
        <f>AE91/AD91-1</f>
        <v>0.75471698113207553</v>
      </c>
      <c r="AF92" s="24"/>
      <c r="AG92" s="72">
        <v>-0.68817204301075274</v>
      </c>
      <c r="AH92" s="72">
        <v>0.5862068965517242</v>
      </c>
      <c r="AI92" s="72">
        <v>0.56521739130434789</v>
      </c>
      <c r="AJ92" s="72">
        <v>0.15277777777777768</v>
      </c>
      <c r="AK92" s="24"/>
      <c r="AL92" s="72">
        <v>-0.84337349397590367</v>
      </c>
      <c r="AM92" s="72">
        <v>5.4615384615384617</v>
      </c>
      <c r="AN92" s="72">
        <v>-0.73809523809523814</v>
      </c>
      <c r="AO92" s="72">
        <v>0.45454545454545459</v>
      </c>
      <c r="AP92" s="24"/>
      <c r="AQ92" s="72">
        <v>0.3125</v>
      </c>
      <c r="AR92" s="72">
        <v>0.33333333333333326</v>
      </c>
      <c r="AS92" s="72">
        <v>-0.5714285714285714</v>
      </c>
      <c r="AT92" s="72">
        <v>-0.33333333333333337</v>
      </c>
      <c r="AU92" s="24"/>
      <c r="AV92" s="72">
        <v>-0.375</v>
      </c>
      <c r="AW92" s="72">
        <v>0.8</v>
      </c>
      <c r="AX92" s="72">
        <v>1.6666666666666665</v>
      </c>
      <c r="AY92" s="72">
        <v>-0.54166666666666674</v>
      </c>
      <c r="AZ92" s="24"/>
      <c r="BA92" s="72">
        <v>-0.63636363636363635</v>
      </c>
      <c r="BB92" s="85" t="s">
        <v>43</v>
      </c>
      <c r="BC92" s="85" t="s">
        <v>43</v>
      </c>
      <c r="BD92" s="72">
        <v>21.666666666666668</v>
      </c>
      <c r="BE92" s="24"/>
    </row>
    <row r="93" spans="1:57" ht="13.5" customHeight="1">
      <c r="A93" s="71" t="s">
        <v>8</v>
      </c>
      <c r="B93" s="24"/>
      <c r="C93" s="73"/>
      <c r="D93" s="73"/>
      <c r="E93" s="73"/>
      <c r="F93" s="73"/>
      <c r="G93" s="24">
        <f t="shared" ref="G93" si="86">G91/B91-1</f>
        <v>-0.16949152542372881</v>
      </c>
      <c r="H93" s="73">
        <f t="shared" ref="H93" si="87">H91/C91-1</f>
        <v>-0.16393442622950816</v>
      </c>
      <c r="I93" s="73">
        <f t="shared" ref="I93" si="88">I91/D91-1</f>
        <v>-0.57692307692307687</v>
      </c>
      <c r="J93" s="73">
        <f t="shared" ref="J93" si="89">J91/E91-1</f>
        <v>0.4285714285714286</v>
      </c>
      <c r="K93" s="73">
        <f t="shared" ref="K93" si="90">K91/F91-1</f>
        <v>-0.82608695652173914</v>
      </c>
      <c r="L93" s="24">
        <f t="shared" ref="L93" si="91">L91/G91-1</f>
        <v>-0.38775510204081631</v>
      </c>
      <c r="M93" s="73">
        <f t="shared" ref="M93" si="92">M91/H91-1</f>
        <v>-0.70588235294117641</v>
      </c>
      <c r="N93" s="73">
        <f t="shared" ref="N93" si="93">N91/I91-1</f>
        <v>1.3636363636363638</v>
      </c>
      <c r="O93" s="73">
        <f t="shared" ref="O93" si="94">O91/J91-1</f>
        <v>1.4</v>
      </c>
      <c r="P93" s="73">
        <f t="shared" ref="P93" si="95">P91/K91-1</f>
        <v>4.5</v>
      </c>
      <c r="Q93" s="24">
        <f t="shared" ref="Q93" si="96">Q91/L91-1</f>
        <v>0.47777777777777786</v>
      </c>
      <c r="R93" s="73">
        <f t="shared" ref="R93" si="97">R91/M91-1</f>
        <v>11.466666666666667</v>
      </c>
      <c r="S93" s="73">
        <f t="shared" ref="S93" si="98">S91/N91-1</f>
        <v>0.88461538461538458</v>
      </c>
      <c r="T93" s="73">
        <f t="shared" ref="T93" si="99">T91/O91-1</f>
        <v>1.1875</v>
      </c>
      <c r="U93" s="73">
        <f t="shared" ref="U93" si="100">U91/P91-1</f>
        <v>-2.7045454545454546</v>
      </c>
      <c r="V93" s="24">
        <f t="shared" ref="V93" si="101">V91/Q91-1</f>
        <v>1</v>
      </c>
      <c r="W93" s="73">
        <f t="shared" ref="W93" si="102">W91/R91-1</f>
        <v>-0.74866310160427807</v>
      </c>
      <c r="X93" s="73">
        <f t="shared" ref="X93" si="103">X91/S91-1</f>
        <v>-0.55102040816326525</v>
      </c>
      <c r="Y93" s="73">
        <f t="shared" ref="Y93" si="104">Y91/T91-1</f>
        <v>-7.6190476190476142E-2</v>
      </c>
      <c r="Z93" s="73">
        <f t="shared" ref="Z93" si="105">Z91/U91-1</f>
        <v>-2.8533333333333335</v>
      </c>
      <c r="AA93" s="24">
        <f t="shared" ref="AA93" si="106">AA91/V91-1</f>
        <v>0.14661654135338353</v>
      </c>
      <c r="AB93" s="73">
        <f t="shared" ref="AB93" si="107">AB91/W91-1</f>
        <v>-8.5106382978723416E-2</v>
      </c>
      <c r="AC93" s="73">
        <f t="shared" ref="AC93" si="108">AC91/X91-1</f>
        <v>4.5909090909090908</v>
      </c>
      <c r="AD93" s="73">
        <f t="shared" ref="AD93" si="109">AD91/Y91-1</f>
        <v>-0.45360824742268047</v>
      </c>
      <c r="AE93" s="73">
        <f t="shared" ref="AE93" si="110">AE91/Z91-1</f>
        <v>-0.3309352517985612</v>
      </c>
      <c r="AF93" s="24">
        <v>2.2950819672131084E-2</v>
      </c>
      <c r="AG93" s="73">
        <v>-0.32558139534883723</v>
      </c>
      <c r="AH93" s="73">
        <v>-0.62601626016260159</v>
      </c>
      <c r="AI93" s="73">
        <v>0.35849056603773577</v>
      </c>
      <c r="AJ93" s="73">
        <v>-0.10752688172043012</v>
      </c>
      <c r="AK93" s="24">
        <v>-0.26282051282051277</v>
      </c>
      <c r="AL93" s="73">
        <v>-0.55172413793103448</v>
      </c>
      <c r="AM93" s="73">
        <v>0.82608695652173902</v>
      </c>
      <c r="AN93" s="73">
        <v>-0.69444444444444442</v>
      </c>
      <c r="AO93" s="73">
        <v>-0.61445783132530118</v>
      </c>
      <c r="AP93" s="24">
        <v>-0.34347826086956523</v>
      </c>
      <c r="AQ93" s="73">
        <v>2.2307692307692308</v>
      </c>
      <c r="AR93" s="73">
        <v>-0.33333333333333337</v>
      </c>
      <c r="AS93" s="73">
        <v>9.0909090909090828E-2</v>
      </c>
      <c r="AT93" s="73">
        <v>-0.5</v>
      </c>
      <c r="AU93" s="24">
        <v>-8.6092715231788075E-2</v>
      </c>
      <c r="AV93" s="73">
        <v>-0.76190476190476186</v>
      </c>
      <c r="AW93" s="73">
        <v>-0.6785714285714286</v>
      </c>
      <c r="AX93" s="73">
        <v>1</v>
      </c>
      <c r="AY93" s="73">
        <v>0.375</v>
      </c>
      <c r="AZ93" s="24">
        <v>-0.28985507246376807</v>
      </c>
      <c r="BA93" s="73">
        <v>-0.19999999999999996</v>
      </c>
      <c r="BB93" s="85" t="s">
        <v>43</v>
      </c>
      <c r="BC93" s="73">
        <v>-0.75</v>
      </c>
      <c r="BD93" s="73">
        <v>11.363636363636363</v>
      </c>
      <c r="BE93" s="24">
        <v>1.3979591836734695</v>
      </c>
    </row>
    <row r="94" spans="1:57" ht="13.5" customHeight="1">
      <c r="A94" s="69" t="s">
        <v>209</v>
      </c>
      <c r="B94" s="37">
        <f>B88-B91</f>
        <v>814.45</v>
      </c>
      <c r="C94" s="70">
        <f>C88-C91</f>
        <v>225.60000000000002</v>
      </c>
      <c r="D94" s="70">
        <f>D88-D91</f>
        <v>320.44600000000003</v>
      </c>
      <c r="E94" s="70">
        <f>E88-E91</f>
        <v>525.15</v>
      </c>
      <c r="F94" s="70">
        <f>G94-E94-D94-C94</f>
        <v>313.26300000000003</v>
      </c>
      <c r="G94" s="37">
        <f>G88-147</f>
        <v>1384.4590000000001</v>
      </c>
      <c r="H94" s="70">
        <f>H88-H91</f>
        <v>358.56400000000002</v>
      </c>
      <c r="I94" s="70">
        <f>I88-I91</f>
        <v>370.08800000000002</v>
      </c>
      <c r="J94" s="70">
        <f>J88-J91</f>
        <v>364</v>
      </c>
      <c r="K94" s="70">
        <f>L94-J94-I94-H94</f>
        <v>352.34800000000001</v>
      </c>
      <c r="L94" s="37">
        <f>L88-L91</f>
        <v>1445</v>
      </c>
      <c r="M94" s="70">
        <f>M88-M91</f>
        <v>354</v>
      </c>
      <c r="N94" s="70">
        <f>N88-N91</f>
        <v>370</v>
      </c>
      <c r="O94" s="70">
        <f>O88-O91</f>
        <v>328</v>
      </c>
      <c r="P94" s="70">
        <f>Q94-O94-N94-M94</f>
        <v>437</v>
      </c>
      <c r="Q94" s="37">
        <f>Q88-Q91</f>
        <v>1489</v>
      </c>
      <c r="R94" s="70">
        <f>R88-R91</f>
        <v>313</v>
      </c>
      <c r="S94" s="70">
        <f>S88-S91</f>
        <v>406</v>
      </c>
      <c r="T94" s="70">
        <f>T88-T91</f>
        <v>374</v>
      </c>
      <c r="U94" s="70">
        <f>V94-T94-S94-R94</f>
        <v>544</v>
      </c>
      <c r="V94" s="37">
        <f>V88-266</f>
        <v>1637</v>
      </c>
      <c r="W94" s="70">
        <f>W88-W91</f>
        <v>413</v>
      </c>
      <c r="X94" s="70">
        <f>X88-X91</f>
        <v>360</v>
      </c>
      <c r="Y94" s="70">
        <f>Y88-Y91</f>
        <v>270</v>
      </c>
      <c r="Z94" s="70">
        <f>AA94-Y94-X94-W94</f>
        <v>192</v>
      </c>
      <c r="AA94" s="37">
        <f>AA88-305</f>
        <v>1235</v>
      </c>
      <c r="AB94" s="70">
        <f>AB88-AB91</f>
        <v>246</v>
      </c>
      <c r="AC94" s="70">
        <f>AC88-AC91</f>
        <v>178</v>
      </c>
      <c r="AD94" s="70">
        <f>AD88-AD91</f>
        <v>267</v>
      </c>
      <c r="AE94" s="70">
        <f>AF94-AD94-AC94-AB94</f>
        <v>225</v>
      </c>
      <c r="AF94" s="37">
        <v>916</v>
      </c>
      <c r="AG94" s="70">
        <v>286</v>
      </c>
      <c r="AH94" s="70">
        <v>277</v>
      </c>
      <c r="AI94" s="70">
        <v>250</v>
      </c>
      <c r="AJ94" s="70">
        <v>232</v>
      </c>
      <c r="AK94" s="37">
        <v>1045</v>
      </c>
      <c r="AL94" s="70">
        <v>355</v>
      </c>
      <c r="AM94" s="70">
        <v>427</v>
      </c>
      <c r="AN94" s="70">
        <v>405</v>
      </c>
      <c r="AO94" s="70">
        <v>297</v>
      </c>
      <c r="AP94" s="37">
        <v>1484</v>
      </c>
      <c r="AQ94" s="70">
        <v>303</v>
      </c>
      <c r="AR94" s="70">
        <v>331</v>
      </c>
      <c r="AS94" s="70">
        <v>325</v>
      </c>
      <c r="AT94" s="70">
        <v>319</v>
      </c>
      <c r="AU94" s="37">
        <v>1278</v>
      </c>
      <c r="AV94" s="70">
        <v>370</v>
      </c>
      <c r="AW94" s="70">
        <v>388</v>
      </c>
      <c r="AX94" s="70">
        <v>305</v>
      </c>
      <c r="AY94" s="70">
        <v>369</v>
      </c>
      <c r="AZ94" s="37">
        <v>1432</v>
      </c>
      <c r="BA94" s="70">
        <v>360</v>
      </c>
      <c r="BB94" s="70">
        <v>588</v>
      </c>
      <c r="BC94" s="70">
        <v>400</v>
      </c>
      <c r="BD94" s="70">
        <v>144</v>
      </c>
      <c r="BE94" s="37">
        <v>1492</v>
      </c>
    </row>
    <row r="95" spans="1:57" ht="13.5" customHeight="1">
      <c r="A95" s="71" t="s">
        <v>7</v>
      </c>
      <c r="B95" s="24"/>
      <c r="C95" s="72"/>
      <c r="D95" s="72">
        <f>D94/C94-1</f>
        <v>0.42041666666666666</v>
      </c>
      <c r="E95" s="72">
        <f>E94/D94-1</f>
        <v>0.63880965903771592</v>
      </c>
      <c r="F95" s="72">
        <f>F94/E94-1</f>
        <v>-0.40347900599828612</v>
      </c>
      <c r="G95" s="24"/>
      <c r="H95" s="72">
        <f>H94/F94-1</f>
        <v>0.14461011993117601</v>
      </c>
      <c r="I95" s="72">
        <f>I94/H94-1</f>
        <v>3.2139311252663338E-2</v>
      </c>
      <c r="J95" s="72">
        <f>J94/I94-1</f>
        <v>-1.6450141587946665E-2</v>
      </c>
      <c r="K95" s="72">
        <f>K94/J94-1</f>
        <v>-3.2010989010988977E-2</v>
      </c>
      <c r="L95" s="24"/>
      <c r="M95" s="72">
        <f>M94/K94-1</f>
        <v>4.6885465505692725E-3</v>
      </c>
      <c r="N95" s="72">
        <f>N94/M94-1</f>
        <v>4.5197740112994378E-2</v>
      </c>
      <c r="O95" s="72">
        <f>O94/N94-1</f>
        <v>-0.11351351351351346</v>
      </c>
      <c r="P95" s="72">
        <f>P94/O94-1</f>
        <v>0.33231707317073167</v>
      </c>
      <c r="Q95" s="24"/>
      <c r="R95" s="72">
        <f>R94/P94-1</f>
        <v>-0.28375286041189929</v>
      </c>
      <c r="S95" s="72">
        <f>S94/R94-1</f>
        <v>0.29712460063897761</v>
      </c>
      <c r="T95" s="72">
        <f>T94/S94-1</f>
        <v>-7.8817733990147798E-2</v>
      </c>
      <c r="U95" s="72">
        <f>U94/T94-1</f>
        <v>0.45454545454545459</v>
      </c>
      <c r="V95" s="24"/>
      <c r="W95" s="72">
        <f>W94/U94-1</f>
        <v>-0.2408088235294118</v>
      </c>
      <c r="X95" s="72">
        <f>X94/W94-1</f>
        <v>-0.12832929782082325</v>
      </c>
      <c r="Y95" s="72">
        <f>Y94/X94-1</f>
        <v>-0.25</v>
      </c>
      <c r="Z95" s="72">
        <f>Z94/Y94-1</f>
        <v>-0.28888888888888886</v>
      </c>
      <c r="AA95" s="24"/>
      <c r="AB95" s="72">
        <f>AB94/Z94-1</f>
        <v>0.28125</v>
      </c>
      <c r="AC95" s="72">
        <f>AC94/AB94-1</f>
        <v>-0.27642276422764223</v>
      </c>
      <c r="AD95" s="72">
        <f>AD94/AC94-1</f>
        <v>0.5</v>
      </c>
      <c r="AE95" s="72">
        <f>AE94/AD94-1</f>
        <v>-0.15730337078651691</v>
      </c>
      <c r="AF95" s="24"/>
      <c r="AG95" s="72">
        <v>0.27111111111111108</v>
      </c>
      <c r="AH95" s="72">
        <v>-3.1468531468531458E-2</v>
      </c>
      <c r="AI95" s="72">
        <v>-9.7472924187725685E-2</v>
      </c>
      <c r="AJ95" s="72">
        <v>-7.1999999999999953E-2</v>
      </c>
      <c r="AK95" s="24"/>
      <c r="AL95" s="72">
        <v>0.53017241379310343</v>
      </c>
      <c r="AM95" s="72">
        <v>0.20281690140845066</v>
      </c>
      <c r="AN95" s="72">
        <v>-5.1522248243559665E-2</v>
      </c>
      <c r="AO95" s="72">
        <v>-0.26666666666666672</v>
      </c>
      <c r="AP95" s="24"/>
      <c r="AQ95" s="72">
        <v>2.020202020202011E-2</v>
      </c>
      <c r="AR95" s="72">
        <v>9.2409240924092417E-2</v>
      </c>
      <c r="AS95" s="72">
        <v>-1.8126888217522619E-2</v>
      </c>
      <c r="AT95" s="72">
        <v>-1.8461538461538418E-2</v>
      </c>
      <c r="AU95" s="24"/>
      <c r="AV95" s="72">
        <v>0.15987460815047028</v>
      </c>
      <c r="AW95" s="72">
        <v>4.8648648648648596E-2</v>
      </c>
      <c r="AX95" s="72">
        <v>-0.21391752577319589</v>
      </c>
      <c r="AY95" s="72">
        <v>0.20983606557377055</v>
      </c>
      <c r="AZ95" s="24"/>
      <c r="BA95" s="72">
        <v>-2.4390243902439046E-2</v>
      </c>
      <c r="BB95" s="72">
        <v>0.6333333333333333</v>
      </c>
      <c r="BC95" s="72">
        <v>-0.31972789115646261</v>
      </c>
      <c r="BD95" s="72">
        <v>-0.64</v>
      </c>
      <c r="BE95" s="24"/>
    </row>
    <row r="96" spans="1:57" ht="13.5" customHeight="1">
      <c r="A96" s="71" t="s">
        <v>8</v>
      </c>
      <c r="B96" s="24"/>
      <c r="C96" s="73"/>
      <c r="D96" s="73"/>
      <c r="E96" s="73"/>
      <c r="F96" s="73"/>
      <c r="G96" s="24">
        <f t="shared" ref="G96:N96" si="111">G94/B94-1</f>
        <v>0.69986985081957154</v>
      </c>
      <c r="H96" s="73">
        <f t="shared" si="111"/>
        <v>0.58937943262411352</v>
      </c>
      <c r="I96" s="73">
        <f t="shared" si="111"/>
        <v>0.15491533674940539</v>
      </c>
      <c r="J96" s="73">
        <f t="shared" si="111"/>
        <v>-0.30686470532228882</v>
      </c>
      <c r="K96" s="73">
        <f t="shared" si="111"/>
        <v>0.1247673679943051</v>
      </c>
      <c r="L96" s="24">
        <f t="shared" si="111"/>
        <v>4.3728994502545637E-2</v>
      </c>
      <c r="M96" s="73">
        <f t="shared" si="111"/>
        <v>-1.2728550551644902E-2</v>
      </c>
      <c r="N96" s="73">
        <f t="shared" si="111"/>
        <v>-2.3778128445128832E-4</v>
      </c>
      <c r="O96" s="73">
        <f t="shared" ref="O96:Y96" si="112">O94/J94-1</f>
        <v>-9.8901098901098883E-2</v>
      </c>
      <c r="P96" s="73">
        <f t="shared" si="112"/>
        <v>0.24025111537457278</v>
      </c>
      <c r="Q96" s="24">
        <f t="shared" si="112"/>
        <v>3.04498269896194E-2</v>
      </c>
      <c r="R96" s="73">
        <f t="shared" si="112"/>
        <v>-0.11581920903954801</v>
      </c>
      <c r="S96" s="73">
        <f t="shared" si="112"/>
        <v>9.7297297297297192E-2</v>
      </c>
      <c r="T96" s="73">
        <f t="shared" si="112"/>
        <v>0.14024390243902429</v>
      </c>
      <c r="U96" s="73">
        <f t="shared" si="112"/>
        <v>0.24485125858123569</v>
      </c>
      <c r="V96" s="24">
        <f t="shared" si="112"/>
        <v>9.9395567494963144E-2</v>
      </c>
      <c r="W96" s="73">
        <f t="shared" si="112"/>
        <v>0.31948881789137373</v>
      </c>
      <c r="X96" s="73">
        <f t="shared" si="112"/>
        <v>-0.11330049261083741</v>
      </c>
      <c r="Y96" s="73">
        <f t="shared" si="112"/>
        <v>-0.27807486631016043</v>
      </c>
      <c r="Z96" s="73">
        <f t="shared" ref="Z96:AE96" si="113">Z94/U94-1</f>
        <v>-0.64705882352941169</v>
      </c>
      <c r="AA96" s="24">
        <f t="shared" si="113"/>
        <v>-0.2455711667684789</v>
      </c>
      <c r="AB96" s="73">
        <f t="shared" si="113"/>
        <v>-0.40435835351089588</v>
      </c>
      <c r="AC96" s="73">
        <f t="shared" si="113"/>
        <v>-0.50555555555555554</v>
      </c>
      <c r="AD96" s="73">
        <f t="shared" si="113"/>
        <v>-1.1111111111111072E-2</v>
      </c>
      <c r="AE96" s="73">
        <f t="shared" si="113"/>
        <v>0.171875</v>
      </c>
      <c r="AF96" s="24">
        <v>-0.25829959514170042</v>
      </c>
      <c r="AG96" s="73">
        <v>0.16260162601626016</v>
      </c>
      <c r="AH96" s="73">
        <v>0.55617977528089879</v>
      </c>
      <c r="AI96" s="73">
        <v>-6.3670411985018771E-2</v>
      </c>
      <c r="AJ96" s="73">
        <v>3.1111111111111089E-2</v>
      </c>
      <c r="AK96" s="24">
        <v>0.14082969432314418</v>
      </c>
      <c r="AL96" s="73">
        <v>0.24125874125874125</v>
      </c>
      <c r="AM96" s="73">
        <v>0.54151624548736454</v>
      </c>
      <c r="AN96" s="73">
        <v>0.62000000000000011</v>
      </c>
      <c r="AO96" s="73">
        <v>0.28017241379310343</v>
      </c>
      <c r="AP96" s="24">
        <v>0.4200956937799043</v>
      </c>
      <c r="AQ96" s="73">
        <v>-0.14647887323943665</v>
      </c>
      <c r="AR96" s="73">
        <v>-0.22482435597189698</v>
      </c>
      <c r="AS96" s="73">
        <v>-0.19753086419753085</v>
      </c>
      <c r="AT96" s="73">
        <v>7.4074074074074181E-2</v>
      </c>
      <c r="AU96" s="24">
        <v>-0.13881401617250677</v>
      </c>
      <c r="AV96" s="73">
        <v>0.22112211221122102</v>
      </c>
      <c r="AW96" s="73">
        <v>0.17220543806646527</v>
      </c>
      <c r="AX96" s="73">
        <v>-6.1538461538461542E-2</v>
      </c>
      <c r="AY96" s="73">
        <v>0.15673981191222564</v>
      </c>
      <c r="AZ96" s="24">
        <v>0.12050078247261342</v>
      </c>
      <c r="BA96" s="73">
        <v>-2.7027027027026973E-2</v>
      </c>
      <c r="BB96" s="73">
        <v>0.51546391752577314</v>
      </c>
      <c r="BC96" s="73">
        <v>0.31147540983606548</v>
      </c>
      <c r="BD96" s="73">
        <v>-0.6097560975609756</v>
      </c>
      <c r="BE96" s="24">
        <v>4.1899441340782051E-2</v>
      </c>
    </row>
    <row r="97" spans="1:57" ht="13.5" customHeight="1">
      <c r="A97" s="69" t="s">
        <v>261</v>
      </c>
      <c r="B97" s="24"/>
      <c r="C97" s="73"/>
      <c r="D97" s="73"/>
      <c r="E97" s="73"/>
      <c r="F97" s="73"/>
      <c r="G97" s="24"/>
      <c r="H97" s="73"/>
      <c r="I97" s="73"/>
      <c r="J97" s="73"/>
      <c r="K97" s="73"/>
      <c r="L97" s="24"/>
      <c r="M97" s="73"/>
      <c r="N97" s="73"/>
      <c r="O97" s="73"/>
      <c r="P97" s="73"/>
      <c r="Q97" s="24"/>
      <c r="R97" s="73"/>
      <c r="S97" s="73"/>
      <c r="T97" s="73"/>
      <c r="U97" s="73"/>
      <c r="V97" s="24"/>
      <c r="W97" s="73"/>
      <c r="X97" s="73"/>
      <c r="Y97" s="73"/>
      <c r="Z97" s="73"/>
      <c r="AA97" s="24"/>
      <c r="AB97" s="73"/>
      <c r="AC97" s="73"/>
      <c r="AD97" s="73"/>
      <c r="AE97" s="73"/>
      <c r="AF97" s="24"/>
      <c r="AG97" s="73"/>
      <c r="AH97" s="73"/>
      <c r="AI97" s="73"/>
      <c r="AJ97" s="73"/>
      <c r="AK97" s="24"/>
      <c r="AL97" s="73"/>
      <c r="AM97" s="73"/>
      <c r="AN97" s="73"/>
      <c r="AO97" s="73"/>
      <c r="AP97" s="24"/>
      <c r="AQ97" s="73"/>
      <c r="AR97" s="73"/>
      <c r="AS97" s="73"/>
      <c r="AT97" s="73"/>
      <c r="AU97" s="24"/>
      <c r="AV97" s="73"/>
      <c r="AW97" s="73"/>
      <c r="AX97" s="73"/>
      <c r="AY97" s="73"/>
      <c r="AZ97" s="24"/>
      <c r="BA97" s="70">
        <v>126</v>
      </c>
      <c r="BB97" s="70">
        <v>96</v>
      </c>
      <c r="BC97" s="70">
        <v>109</v>
      </c>
      <c r="BD97" s="70">
        <v>91</v>
      </c>
      <c r="BE97" s="37">
        <v>422</v>
      </c>
    </row>
    <row r="98" spans="1:57" ht="7.5" customHeight="1">
      <c r="A98" s="71"/>
      <c r="B98" s="24"/>
      <c r="C98" s="73"/>
      <c r="D98" s="73"/>
      <c r="E98" s="73"/>
      <c r="F98" s="73"/>
      <c r="G98" s="24"/>
      <c r="H98" s="73"/>
      <c r="I98" s="73"/>
      <c r="J98" s="73"/>
      <c r="K98" s="73"/>
      <c r="L98" s="24"/>
      <c r="M98" s="73"/>
      <c r="N98" s="73"/>
      <c r="O98" s="73"/>
      <c r="P98" s="73"/>
      <c r="Q98" s="24"/>
      <c r="R98" s="73"/>
      <c r="S98" s="73"/>
      <c r="T98" s="73"/>
      <c r="U98" s="73"/>
      <c r="V98" s="24"/>
      <c r="W98" s="73"/>
      <c r="X98" s="73"/>
      <c r="Y98" s="73"/>
      <c r="Z98" s="73"/>
      <c r="AA98" s="24"/>
      <c r="AB98" s="73"/>
      <c r="AC98" s="73"/>
      <c r="AD98" s="73"/>
      <c r="AE98" s="73"/>
      <c r="AF98" s="24"/>
      <c r="AG98" s="73"/>
      <c r="AH98" s="73"/>
      <c r="AI98" s="73"/>
      <c r="AJ98" s="73"/>
      <c r="AK98" s="24"/>
      <c r="AL98" s="73"/>
      <c r="AM98" s="73"/>
      <c r="AN98" s="73"/>
      <c r="AO98" s="73"/>
      <c r="AP98" s="24"/>
      <c r="AQ98" s="73"/>
      <c r="AR98" s="73"/>
      <c r="AS98" s="73"/>
      <c r="AT98" s="73"/>
      <c r="AU98" s="24"/>
      <c r="AV98" s="73"/>
      <c r="AW98" s="73"/>
      <c r="AX98" s="73"/>
      <c r="AY98" s="73"/>
      <c r="AZ98" s="24"/>
      <c r="BA98" s="73"/>
      <c r="BB98" s="73"/>
      <c r="BC98" s="73"/>
      <c r="BD98" s="73"/>
      <c r="BE98" s="24"/>
    </row>
    <row r="99" spans="1:57" ht="13.5" customHeight="1">
      <c r="A99" s="69" t="s">
        <v>54</v>
      </c>
      <c r="B99" s="37">
        <f>B82-B94</f>
        <v>1882.675</v>
      </c>
      <c r="C99" s="77">
        <f>C82-C94</f>
        <v>308.29999999999995</v>
      </c>
      <c r="D99" s="77">
        <f>D82-D94</f>
        <v>406.18399999999997</v>
      </c>
      <c r="E99" s="77">
        <f>E82-E94</f>
        <v>589.61700000000008</v>
      </c>
      <c r="F99" s="70">
        <f>G99-E99-D99-C99</f>
        <v>379.41300000000001</v>
      </c>
      <c r="G99" s="37">
        <f>G82-G94</f>
        <v>1683.5139999999999</v>
      </c>
      <c r="H99" s="77">
        <f>H82-H94</f>
        <v>775.75099999999998</v>
      </c>
      <c r="I99" s="77">
        <f>I82-I94</f>
        <v>344.536</v>
      </c>
      <c r="J99" s="77">
        <f>J82-J94</f>
        <v>657</v>
      </c>
      <c r="K99" s="70">
        <f>L99-J99-I99-H99</f>
        <v>432.71299999999997</v>
      </c>
      <c r="L99" s="37">
        <f>L82-L94</f>
        <v>2210</v>
      </c>
      <c r="M99" s="77">
        <f>M82-M94</f>
        <v>452</v>
      </c>
      <c r="N99" s="77">
        <f>N82-N94</f>
        <v>606</v>
      </c>
      <c r="O99" s="77">
        <f>O82-O94</f>
        <v>838</v>
      </c>
      <c r="P99" s="70">
        <f>Q99-O99-N99-M99</f>
        <v>311</v>
      </c>
      <c r="Q99" s="37">
        <f>Q82-Q94</f>
        <v>2207</v>
      </c>
      <c r="R99" s="77">
        <f>R82-R94</f>
        <v>462</v>
      </c>
      <c r="S99" s="77">
        <f>S82-S94</f>
        <v>264</v>
      </c>
      <c r="T99" s="77">
        <f>T82-T94</f>
        <v>508</v>
      </c>
      <c r="U99" s="70">
        <f>V99-T99-S99-R99</f>
        <v>315</v>
      </c>
      <c r="V99" s="37">
        <f>V82-V94</f>
        <v>1549</v>
      </c>
      <c r="W99" s="77">
        <f>W82-W94</f>
        <v>585</v>
      </c>
      <c r="X99" s="77">
        <f>X82-X94</f>
        <v>630</v>
      </c>
      <c r="Y99" s="77">
        <f>Y82-Y94</f>
        <v>754</v>
      </c>
      <c r="Z99" s="70">
        <f>AA99-Y99-X99-W99</f>
        <v>810</v>
      </c>
      <c r="AA99" s="37">
        <f>AA82-AA94</f>
        <v>2779</v>
      </c>
      <c r="AB99" s="77">
        <f>AB82-AB94</f>
        <v>726</v>
      </c>
      <c r="AC99" s="77">
        <f>AC82-AC94</f>
        <v>924</v>
      </c>
      <c r="AD99" s="77">
        <f>AD82-AD94</f>
        <v>876</v>
      </c>
      <c r="AE99" s="70">
        <f>AF99-AD99-AC99-AB99</f>
        <v>710</v>
      </c>
      <c r="AF99" s="37">
        <v>3236</v>
      </c>
      <c r="AG99" s="77">
        <v>757</v>
      </c>
      <c r="AH99" s="77">
        <v>787</v>
      </c>
      <c r="AI99" s="77">
        <v>700</v>
      </c>
      <c r="AJ99" s="70">
        <v>507</v>
      </c>
      <c r="AK99" s="37">
        <v>2751</v>
      </c>
      <c r="AL99" s="77">
        <v>606</v>
      </c>
      <c r="AM99" s="77">
        <v>413</v>
      </c>
      <c r="AN99" s="77">
        <v>645</v>
      </c>
      <c r="AO99" s="70">
        <v>592</v>
      </c>
      <c r="AP99" s="37">
        <v>2256</v>
      </c>
      <c r="AQ99" s="77">
        <v>619</v>
      </c>
      <c r="AR99" s="77">
        <v>539</v>
      </c>
      <c r="AS99" s="77">
        <v>577</v>
      </c>
      <c r="AT99" s="70">
        <v>513</v>
      </c>
      <c r="AU99" s="37">
        <v>2248</v>
      </c>
      <c r="AV99" s="77">
        <v>456</v>
      </c>
      <c r="AW99" s="77">
        <v>487</v>
      </c>
      <c r="AX99" s="77">
        <v>677</v>
      </c>
      <c r="AY99" s="70">
        <v>473</v>
      </c>
      <c r="AZ99" s="37">
        <v>2093</v>
      </c>
      <c r="BA99" s="77">
        <v>423</v>
      </c>
      <c r="BB99" s="77">
        <v>122</v>
      </c>
      <c r="BC99" s="77">
        <v>374</v>
      </c>
      <c r="BD99" s="70">
        <v>679</v>
      </c>
      <c r="BE99" s="37">
        <v>1598</v>
      </c>
    </row>
    <row r="100" spans="1:57" ht="13.5" customHeight="1">
      <c r="A100" s="71" t="s">
        <v>7</v>
      </c>
      <c r="B100" s="24"/>
      <c r="C100" s="72"/>
      <c r="D100" s="72">
        <f>D99/C99-1</f>
        <v>0.3174959455076225</v>
      </c>
      <c r="E100" s="72">
        <f>E99/D99-1</f>
        <v>0.45160075236838515</v>
      </c>
      <c r="F100" s="72">
        <f>F99/E99-1</f>
        <v>-0.35650939508189217</v>
      </c>
      <c r="G100" s="24"/>
      <c r="H100" s="72">
        <f>H99/F99-1</f>
        <v>1.0446083818951908</v>
      </c>
      <c r="I100" s="72">
        <f>I99/H99-1</f>
        <v>-0.55586779778562967</v>
      </c>
      <c r="J100" s="72">
        <f>J99/I99-1</f>
        <v>0.90691248519748302</v>
      </c>
      <c r="K100" s="72">
        <f>K99/J99-1</f>
        <v>-0.34138051750380527</v>
      </c>
      <c r="L100" s="24"/>
      <c r="M100" s="72">
        <f>M99/K99-1</f>
        <v>4.4572268455073116E-2</v>
      </c>
      <c r="N100" s="72">
        <f>N99/M99-1</f>
        <v>0.34070796460176989</v>
      </c>
      <c r="O100" s="72">
        <f>O99/N99-1</f>
        <v>0.38283828382838281</v>
      </c>
      <c r="P100" s="72">
        <f>P99/O99-1</f>
        <v>-0.62887828162291171</v>
      </c>
      <c r="Q100" s="24"/>
      <c r="R100" s="72">
        <f>R99/P99-1</f>
        <v>0.48553054662379425</v>
      </c>
      <c r="S100" s="72">
        <f>S99/R99-1</f>
        <v>-0.4285714285714286</v>
      </c>
      <c r="T100" s="72">
        <f>T99/S99-1</f>
        <v>0.92424242424242431</v>
      </c>
      <c r="U100" s="72">
        <f>U99/T99-1</f>
        <v>-0.37992125984251968</v>
      </c>
      <c r="V100" s="24"/>
      <c r="W100" s="72">
        <f>W99/U99-1</f>
        <v>0.85714285714285721</v>
      </c>
      <c r="X100" s="72">
        <f>X99/W99-1</f>
        <v>7.6923076923076872E-2</v>
      </c>
      <c r="Y100" s="72">
        <f>Y99/X99-1</f>
        <v>0.19682539682539679</v>
      </c>
      <c r="Z100" s="72">
        <f>Z99/Y99-1</f>
        <v>7.4270557029177731E-2</v>
      </c>
      <c r="AA100" s="24"/>
      <c r="AB100" s="72">
        <f>AB99/Z99-1</f>
        <v>-0.10370370370370374</v>
      </c>
      <c r="AC100" s="72">
        <f>AC99/AB99-1</f>
        <v>0.27272727272727271</v>
      </c>
      <c r="AD100" s="72">
        <f>AD99/AC99-1</f>
        <v>-5.1948051948051965E-2</v>
      </c>
      <c r="AE100" s="72">
        <f>AE99/AD99-1</f>
        <v>-0.18949771689497719</v>
      </c>
      <c r="AF100" s="24"/>
      <c r="AG100" s="72">
        <v>6.6197183098591461E-2</v>
      </c>
      <c r="AH100" s="72">
        <v>3.9630118890356725E-2</v>
      </c>
      <c r="AI100" s="72">
        <v>-0.11054637865311312</v>
      </c>
      <c r="AJ100" s="72">
        <v>-0.27571428571428569</v>
      </c>
      <c r="AK100" s="24"/>
      <c r="AL100" s="72">
        <v>0.19526627218934922</v>
      </c>
      <c r="AM100" s="72">
        <v>-0.31848184818481851</v>
      </c>
      <c r="AN100" s="72">
        <v>0.56174334140435844</v>
      </c>
      <c r="AO100" s="72">
        <v>-8.2170542635658927E-2</v>
      </c>
      <c r="AP100" s="24"/>
      <c r="AQ100" s="72">
        <v>4.5608108108108114E-2</v>
      </c>
      <c r="AR100" s="72">
        <v>-0.12924071082390953</v>
      </c>
      <c r="AS100" s="72">
        <v>7.0500927643784683E-2</v>
      </c>
      <c r="AT100" s="72">
        <v>-0.1109185441941074</v>
      </c>
      <c r="AU100" s="24"/>
      <c r="AV100" s="72">
        <v>-0.11111111111111116</v>
      </c>
      <c r="AW100" s="72">
        <v>6.7982456140350811E-2</v>
      </c>
      <c r="AX100" s="72">
        <v>0.39014373716632433</v>
      </c>
      <c r="AY100" s="72">
        <v>-0.30132939438700146</v>
      </c>
      <c r="AZ100" s="24"/>
      <c r="BA100" s="72">
        <v>-0.10570824524312894</v>
      </c>
      <c r="BB100" s="72">
        <v>-0.71158392434988182</v>
      </c>
      <c r="BC100" s="72">
        <v>2.0655737704918034</v>
      </c>
      <c r="BD100" s="72">
        <v>0.81550802139037426</v>
      </c>
      <c r="BE100" s="24"/>
    </row>
    <row r="101" spans="1:57" ht="13.5" customHeight="1">
      <c r="A101" s="71" t="s">
        <v>8</v>
      </c>
      <c r="B101" s="24"/>
      <c r="C101" s="73"/>
      <c r="D101" s="73"/>
      <c r="E101" s="73"/>
      <c r="F101" s="73"/>
      <c r="G101" s="24">
        <f t="shared" ref="G101:N101" si="114">G99/B99-1</f>
        <v>-0.10578618189544131</v>
      </c>
      <c r="H101" s="73">
        <f t="shared" si="114"/>
        <v>1.5162212131041195</v>
      </c>
      <c r="I101" s="73">
        <f t="shared" si="114"/>
        <v>-0.15177358044630018</v>
      </c>
      <c r="J101" s="73">
        <f t="shared" si="114"/>
        <v>0.11428266145650468</v>
      </c>
      <c r="K101" s="73">
        <f t="shared" si="114"/>
        <v>0.14048016277776454</v>
      </c>
      <c r="L101" s="24">
        <f t="shared" si="114"/>
        <v>0.31273039606442254</v>
      </c>
      <c r="M101" s="73">
        <f t="shared" si="114"/>
        <v>-0.41733881103601544</v>
      </c>
      <c r="N101" s="73">
        <f t="shared" si="114"/>
        <v>0.75888731511366014</v>
      </c>
      <c r="O101" s="73">
        <f t="shared" ref="O101:Y101" si="115">O99/J99-1</f>
        <v>0.27549467275494677</v>
      </c>
      <c r="P101" s="73">
        <f t="shared" si="115"/>
        <v>-0.2812788152886555</v>
      </c>
      <c r="Q101" s="24">
        <f t="shared" si="115"/>
        <v>-1.3574660633484115E-3</v>
      </c>
      <c r="R101" s="73">
        <f t="shared" si="115"/>
        <v>2.2123893805309658E-2</v>
      </c>
      <c r="S101" s="73">
        <f t="shared" si="115"/>
        <v>-0.56435643564356441</v>
      </c>
      <c r="T101" s="73">
        <f t="shared" si="115"/>
        <v>-0.39379474940334125</v>
      </c>
      <c r="U101" s="73">
        <f t="shared" si="115"/>
        <v>1.2861736334405238E-2</v>
      </c>
      <c r="V101" s="24">
        <f t="shared" si="115"/>
        <v>-0.29814227458087905</v>
      </c>
      <c r="W101" s="73">
        <f t="shared" si="115"/>
        <v>0.26623376623376616</v>
      </c>
      <c r="X101" s="73">
        <f t="shared" si="115"/>
        <v>1.3863636363636362</v>
      </c>
      <c r="Y101" s="73">
        <f t="shared" si="115"/>
        <v>0.48425196850393704</v>
      </c>
      <c r="Z101" s="73">
        <f t="shared" ref="Z101:AE101" si="116">Z99/U99-1</f>
        <v>1.5714285714285716</v>
      </c>
      <c r="AA101" s="24">
        <f t="shared" si="116"/>
        <v>0.79406068431245957</v>
      </c>
      <c r="AB101" s="73">
        <f t="shared" si="116"/>
        <v>0.24102564102564106</v>
      </c>
      <c r="AC101" s="73">
        <f t="shared" si="116"/>
        <v>0.46666666666666656</v>
      </c>
      <c r="AD101" s="73">
        <f t="shared" si="116"/>
        <v>0.16180371352785139</v>
      </c>
      <c r="AE101" s="73">
        <f t="shared" si="116"/>
        <v>-0.12345679012345678</v>
      </c>
      <c r="AF101" s="24">
        <v>0.16444764303706361</v>
      </c>
      <c r="AG101" s="73">
        <v>4.2699724517906379E-2</v>
      </c>
      <c r="AH101" s="73">
        <v>-0.14826839826839822</v>
      </c>
      <c r="AI101" s="73">
        <v>-0.20091324200913241</v>
      </c>
      <c r="AJ101" s="73">
        <v>-0.28591549295774643</v>
      </c>
      <c r="AK101" s="24">
        <v>-0.14987639060568603</v>
      </c>
      <c r="AL101" s="73">
        <v>-0.19947159841479523</v>
      </c>
      <c r="AM101" s="73">
        <v>-0.47522236340533675</v>
      </c>
      <c r="AN101" s="73">
        <v>-7.8571428571428625E-2</v>
      </c>
      <c r="AO101" s="73">
        <v>0.16765285996055224</v>
      </c>
      <c r="AP101" s="24">
        <v>-0.17993456924754636</v>
      </c>
      <c r="AQ101" s="73">
        <v>2.1452145214521545E-2</v>
      </c>
      <c r="AR101" s="73">
        <v>0.30508474576271194</v>
      </c>
      <c r="AS101" s="73">
        <v>-0.10542635658914734</v>
      </c>
      <c r="AT101" s="73">
        <v>-0.13344594594594594</v>
      </c>
      <c r="AU101" s="24">
        <v>-3.5460992907800915E-3</v>
      </c>
      <c r="AV101" s="73">
        <v>-0.26332794830371564</v>
      </c>
      <c r="AW101" s="73">
        <v>-9.6474953617810777E-2</v>
      </c>
      <c r="AX101" s="73">
        <v>0.17331022530329299</v>
      </c>
      <c r="AY101" s="73">
        <v>-7.7972709551656916E-2</v>
      </c>
      <c r="AZ101" s="24">
        <v>-6.8950177935943047E-2</v>
      </c>
      <c r="BA101" s="73">
        <v>-7.2368421052631526E-2</v>
      </c>
      <c r="BB101" s="73">
        <v>-0.74948665297741268</v>
      </c>
      <c r="BC101" s="73">
        <v>-0.44756277695716395</v>
      </c>
      <c r="BD101" s="73">
        <v>0.43551797040169138</v>
      </c>
      <c r="BE101" s="24">
        <v>-0.23650262780697562</v>
      </c>
    </row>
    <row r="102" spans="1:57" ht="13.5" customHeight="1">
      <c r="A102" s="40" t="s">
        <v>244</v>
      </c>
      <c r="B102" s="41"/>
      <c r="C102" s="49"/>
      <c r="D102" s="49"/>
      <c r="E102" s="49"/>
      <c r="F102" s="49"/>
      <c r="G102" s="41"/>
      <c r="H102" s="49"/>
      <c r="I102" s="49"/>
      <c r="J102" s="49"/>
      <c r="K102" s="49"/>
      <c r="L102" s="41"/>
      <c r="M102" s="49"/>
      <c r="N102" s="49"/>
      <c r="O102" s="49"/>
      <c r="P102" s="49"/>
      <c r="Q102" s="41"/>
      <c r="R102" s="49"/>
      <c r="S102" s="49"/>
      <c r="T102" s="49"/>
      <c r="U102" s="49"/>
      <c r="V102" s="41"/>
      <c r="W102" s="49"/>
      <c r="X102" s="49"/>
      <c r="Y102" s="49"/>
      <c r="Z102" s="49"/>
      <c r="AA102" s="41"/>
      <c r="AB102" s="49"/>
      <c r="AC102" s="49"/>
      <c r="AD102" s="49"/>
      <c r="AE102" s="49"/>
      <c r="AF102" s="41"/>
      <c r="AG102" s="49"/>
      <c r="AH102" s="49"/>
      <c r="AI102" s="49"/>
      <c r="AJ102" s="49"/>
      <c r="AK102" s="41"/>
      <c r="AL102" s="49"/>
      <c r="AM102" s="49"/>
      <c r="AN102" s="49"/>
      <c r="AO102" s="49"/>
      <c r="AP102" s="41"/>
      <c r="AQ102" s="49"/>
      <c r="AR102" s="49"/>
      <c r="AS102" s="49"/>
      <c r="AT102" s="49"/>
      <c r="AU102" s="41"/>
      <c r="AV102" s="49"/>
      <c r="AW102" s="49"/>
      <c r="AX102" s="49"/>
      <c r="AY102" s="49"/>
      <c r="AZ102" s="41"/>
      <c r="BA102" s="49"/>
      <c r="BB102" s="49"/>
      <c r="BC102" s="49"/>
      <c r="BD102" s="49"/>
      <c r="BE102" s="41"/>
    </row>
    <row r="103" spans="1:57" ht="13.5" customHeight="1">
      <c r="A103" s="69" t="s">
        <v>173</v>
      </c>
      <c r="B103" s="123" t="s">
        <v>44</v>
      </c>
      <c r="C103" s="80" t="s">
        <v>52</v>
      </c>
      <c r="D103" s="80" t="s">
        <v>52</v>
      </c>
      <c r="E103" s="80" t="s">
        <v>52</v>
      </c>
      <c r="F103" s="80" t="s">
        <v>52</v>
      </c>
      <c r="G103" s="123" t="s">
        <v>44</v>
      </c>
      <c r="H103" s="80" t="s">
        <v>52</v>
      </c>
      <c r="I103" s="80" t="s">
        <v>52</v>
      </c>
      <c r="J103" s="80" t="s">
        <v>52</v>
      </c>
      <c r="K103" s="80" t="s">
        <v>52</v>
      </c>
      <c r="L103" s="123" t="s">
        <v>44</v>
      </c>
      <c r="M103" s="80" t="s">
        <v>52</v>
      </c>
      <c r="N103" s="80" t="s">
        <v>52</v>
      </c>
      <c r="O103" s="80" t="s">
        <v>52</v>
      </c>
      <c r="P103" s="80" t="s">
        <v>52</v>
      </c>
      <c r="Q103" s="171">
        <v>-300</v>
      </c>
      <c r="R103" s="80" t="s">
        <v>52</v>
      </c>
      <c r="S103" s="80" t="s">
        <v>52</v>
      </c>
      <c r="T103" s="80" t="s">
        <v>52</v>
      </c>
      <c r="U103" s="80" t="s">
        <v>52</v>
      </c>
      <c r="V103" s="171">
        <v>-756</v>
      </c>
      <c r="W103" s="80" t="s">
        <v>52</v>
      </c>
      <c r="X103" s="80" t="s">
        <v>52</v>
      </c>
      <c r="Y103" s="80" t="s">
        <v>52</v>
      </c>
      <c r="Z103" s="80" t="s">
        <v>52</v>
      </c>
      <c r="AA103" s="171">
        <v>505</v>
      </c>
      <c r="AB103" s="80" t="s">
        <v>52</v>
      </c>
      <c r="AC103" s="80" t="s">
        <v>52</v>
      </c>
      <c r="AD103" s="80" t="s">
        <v>52</v>
      </c>
      <c r="AE103" s="80" t="s">
        <v>52</v>
      </c>
      <c r="AF103" s="171">
        <v>646</v>
      </c>
      <c r="AG103" s="80" t="s">
        <v>52</v>
      </c>
      <c r="AH103" s="80" t="s">
        <v>52</v>
      </c>
      <c r="AI103" s="80" t="s">
        <v>52</v>
      </c>
      <c r="AJ103" s="80" t="s">
        <v>52</v>
      </c>
      <c r="AK103" s="171">
        <v>549</v>
      </c>
      <c r="AL103" s="152">
        <v>84</v>
      </c>
      <c r="AM103" s="152">
        <v>61</v>
      </c>
      <c r="AN103" s="152">
        <v>51</v>
      </c>
      <c r="AO103" s="152">
        <v>126</v>
      </c>
      <c r="AP103" s="171">
        <v>322</v>
      </c>
      <c r="AQ103" s="152">
        <v>-12</v>
      </c>
      <c r="AR103" s="152">
        <v>75</v>
      </c>
      <c r="AS103" s="152">
        <v>53</v>
      </c>
      <c r="AT103" s="152">
        <v>-10</v>
      </c>
      <c r="AU103" s="171">
        <v>106</v>
      </c>
      <c r="AV103" s="152">
        <v>-7</v>
      </c>
      <c r="AW103" s="152">
        <v>23</v>
      </c>
      <c r="AX103" s="152">
        <v>105</v>
      </c>
      <c r="AY103" s="152">
        <v>72</v>
      </c>
      <c r="AZ103" s="171">
        <v>193</v>
      </c>
      <c r="BA103" s="152">
        <v>74</v>
      </c>
      <c r="BB103" s="152">
        <v>60</v>
      </c>
      <c r="BC103" s="152">
        <v>66</v>
      </c>
      <c r="BD103" s="152">
        <v>41</v>
      </c>
      <c r="BE103" s="171">
        <v>241</v>
      </c>
    </row>
    <row r="104" spans="1:57" ht="13.5" customHeight="1">
      <c r="B104" s="65"/>
      <c r="C104" s="80"/>
      <c r="D104" s="80"/>
      <c r="E104" s="80"/>
      <c r="F104" s="80"/>
      <c r="G104" s="65"/>
      <c r="H104" s="80"/>
      <c r="I104" s="80"/>
      <c r="J104" s="80"/>
      <c r="K104" s="80"/>
      <c r="L104" s="65"/>
      <c r="M104" s="80"/>
      <c r="N104" s="80"/>
      <c r="O104" s="80"/>
      <c r="P104" s="80"/>
      <c r="Q104" s="65"/>
      <c r="R104" s="80"/>
      <c r="S104" s="80"/>
      <c r="T104" s="80"/>
      <c r="U104" s="80"/>
      <c r="V104" s="65"/>
      <c r="W104" s="80"/>
      <c r="X104" s="80"/>
      <c r="Y104" s="80"/>
      <c r="Z104" s="80"/>
      <c r="AA104" s="65"/>
      <c r="AB104" s="80"/>
      <c r="AC104" s="80"/>
      <c r="AD104" s="80"/>
      <c r="AE104" s="80"/>
      <c r="AF104" s="65"/>
      <c r="AG104" s="80"/>
      <c r="AH104" s="80"/>
      <c r="AI104" s="80"/>
      <c r="AJ104" s="80"/>
      <c r="AK104" s="65"/>
      <c r="AL104" s="70"/>
      <c r="AM104" s="70"/>
      <c r="AN104" s="70"/>
      <c r="AO104" s="70"/>
      <c r="AP104" s="65"/>
      <c r="AQ104" s="70"/>
      <c r="AR104" s="70"/>
      <c r="AS104" s="70"/>
      <c r="AT104" s="70"/>
      <c r="AU104" s="65"/>
      <c r="AV104" s="70"/>
      <c r="AW104" s="70"/>
      <c r="AX104" s="70"/>
      <c r="AY104" s="70"/>
      <c r="AZ104" s="65"/>
      <c r="BA104" s="70"/>
      <c r="BB104" s="70"/>
      <c r="BC104" s="70"/>
      <c r="BD104" s="70"/>
      <c r="BE104" s="65"/>
    </row>
    <row r="105" spans="1:57" ht="13.5" customHeight="1">
      <c r="A105" s="69" t="s">
        <v>174</v>
      </c>
      <c r="B105" s="123" t="s">
        <v>44</v>
      </c>
      <c r="C105" s="80" t="s">
        <v>52</v>
      </c>
      <c r="D105" s="80" t="s">
        <v>52</v>
      </c>
      <c r="E105" s="80" t="s">
        <v>52</v>
      </c>
      <c r="F105" s="80" t="s">
        <v>52</v>
      </c>
      <c r="G105" s="123" t="s">
        <v>44</v>
      </c>
      <c r="H105" s="80" t="s">
        <v>52</v>
      </c>
      <c r="I105" s="80" t="s">
        <v>52</v>
      </c>
      <c r="J105" s="80" t="s">
        <v>52</v>
      </c>
      <c r="K105" s="80" t="s">
        <v>52</v>
      </c>
      <c r="L105" s="123" t="s">
        <v>44</v>
      </c>
      <c r="M105" s="80" t="s">
        <v>52</v>
      </c>
      <c r="N105" s="80" t="s">
        <v>52</v>
      </c>
      <c r="O105" s="80" t="s">
        <v>52</v>
      </c>
      <c r="P105" s="80" t="s">
        <v>52</v>
      </c>
      <c r="Q105" s="171">
        <v>84</v>
      </c>
      <c r="R105" s="80" t="s">
        <v>52</v>
      </c>
      <c r="S105" s="80" t="s">
        <v>52</v>
      </c>
      <c r="T105" s="80" t="s">
        <v>52</v>
      </c>
      <c r="U105" s="80" t="s">
        <v>52</v>
      </c>
      <c r="V105" s="171">
        <v>-33</v>
      </c>
      <c r="W105" s="80" t="s">
        <v>52</v>
      </c>
      <c r="X105" s="80" t="s">
        <v>52</v>
      </c>
      <c r="Y105" s="80" t="s">
        <v>52</v>
      </c>
      <c r="Z105" s="80" t="s">
        <v>52</v>
      </c>
      <c r="AA105" s="171">
        <v>74</v>
      </c>
      <c r="AB105" s="80" t="s">
        <v>52</v>
      </c>
      <c r="AC105" s="80" t="s">
        <v>52</v>
      </c>
      <c r="AD105" s="80" t="s">
        <v>52</v>
      </c>
      <c r="AE105" s="80" t="s">
        <v>52</v>
      </c>
      <c r="AF105" s="171">
        <v>9</v>
      </c>
      <c r="AG105" s="80" t="s">
        <v>52</v>
      </c>
      <c r="AH105" s="80" t="s">
        <v>52</v>
      </c>
      <c r="AI105" s="80" t="s">
        <v>52</v>
      </c>
      <c r="AJ105" s="80" t="s">
        <v>52</v>
      </c>
      <c r="AK105" s="171">
        <v>28</v>
      </c>
      <c r="AL105" s="152">
        <v>9</v>
      </c>
      <c r="AM105" s="152">
        <v>-9</v>
      </c>
      <c r="AN105" s="152">
        <v>6</v>
      </c>
      <c r="AO105" s="152">
        <v>-26</v>
      </c>
      <c r="AP105" s="171">
        <v>-20</v>
      </c>
      <c r="AQ105" s="152">
        <v>-9</v>
      </c>
      <c r="AR105" s="152">
        <v>14</v>
      </c>
      <c r="AS105" s="152">
        <v>2</v>
      </c>
      <c r="AT105" s="152">
        <v>-27</v>
      </c>
      <c r="AU105" s="171">
        <v>-20</v>
      </c>
      <c r="AV105" s="152">
        <v>-20</v>
      </c>
      <c r="AW105" s="152">
        <v>8</v>
      </c>
      <c r="AX105" s="152">
        <v>2</v>
      </c>
      <c r="AY105" s="152">
        <v>-25</v>
      </c>
      <c r="AZ105" s="171">
        <v>-35</v>
      </c>
      <c r="BA105" s="152">
        <v>-5</v>
      </c>
      <c r="BB105" s="152">
        <v>18</v>
      </c>
      <c r="BC105" s="152">
        <v>-7</v>
      </c>
      <c r="BD105" s="152">
        <v>-11</v>
      </c>
      <c r="BE105" s="171">
        <v>-5</v>
      </c>
    </row>
    <row r="106" spans="1:57" ht="13.5" customHeight="1">
      <c r="A106" s="71"/>
      <c r="B106" s="171"/>
      <c r="C106" s="80"/>
      <c r="D106" s="80"/>
      <c r="E106" s="80"/>
      <c r="F106" s="80"/>
      <c r="G106" s="171"/>
      <c r="H106" s="80"/>
      <c r="I106" s="80"/>
      <c r="J106" s="80"/>
      <c r="K106" s="80"/>
      <c r="L106" s="171"/>
      <c r="M106" s="80"/>
      <c r="N106" s="80"/>
      <c r="O106" s="80"/>
      <c r="P106" s="80"/>
      <c r="Q106" s="171"/>
      <c r="R106" s="80"/>
      <c r="S106" s="80"/>
      <c r="T106" s="80"/>
      <c r="U106" s="80"/>
      <c r="V106" s="171"/>
      <c r="W106" s="80"/>
      <c r="X106" s="80"/>
      <c r="Y106" s="80"/>
      <c r="Z106" s="80"/>
      <c r="AA106" s="171"/>
      <c r="AB106" s="80"/>
      <c r="AC106" s="80"/>
      <c r="AD106" s="80"/>
      <c r="AE106" s="80"/>
      <c r="AF106" s="171"/>
      <c r="AG106" s="80"/>
      <c r="AH106" s="80"/>
      <c r="AI106" s="80"/>
      <c r="AJ106" s="80"/>
      <c r="AK106" s="171"/>
      <c r="AL106" s="152"/>
      <c r="AM106" s="152"/>
      <c r="AN106" s="152"/>
      <c r="AO106" s="152"/>
      <c r="AP106" s="171"/>
      <c r="AQ106" s="152"/>
      <c r="AR106" s="152"/>
      <c r="AS106" s="152"/>
      <c r="AT106" s="152"/>
      <c r="AU106" s="171"/>
      <c r="AV106" s="152"/>
      <c r="AW106" s="152"/>
      <c r="AX106" s="152"/>
      <c r="AY106" s="152"/>
      <c r="AZ106" s="171"/>
      <c r="BA106" s="152"/>
      <c r="BB106" s="152"/>
      <c r="BC106" s="152"/>
      <c r="BD106" s="152"/>
      <c r="BE106" s="171"/>
    </row>
    <row r="107" spans="1:57" ht="13.5" customHeight="1">
      <c r="A107" s="69" t="s">
        <v>175</v>
      </c>
      <c r="B107" s="123" t="s">
        <v>44</v>
      </c>
      <c r="C107" s="80" t="s">
        <v>52</v>
      </c>
      <c r="D107" s="80" t="s">
        <v>52</v>
      </c>
      <c r="E107" s="80" t="s">
        <v>52</v>
      </c>
      <c r="F107" s="80" t="s">
        <v>52</v>
      </c>
      <c r="G107" s="123" t="s">
        <v>44</v>
      </c>
      <c r="H107" s="80" t="s">
        <v>52</v>
      </c>
      <c r="I107" s="80" t="s">
        <v>52</v>
      </c>
      <c r="J107" s="80" t="s">
        <v>52</v>
      </c>
      <c r="K107" s="80" t="s">
        <v>52</v>
      </c>
      <c r="L107" s="123" t="s">
        <v>44</v>
      </c>
      <c r="M107" s="80" t="s">
        <v>52</v>
      </c>
      <c r="N107" s="80" t="s">
        <v>52</v>
      </c>
      <c r="O107" s="80" t="s">
        <v>52</v>
      </c>
      <c r="P107" s="80" t="s">
        <v>52</v>
      </c>
      <c r="Q107" s="171">
        <v>-21</v>
      </c>
      <c r="R107" s="80" t="s">
        <v>52</v>
      </c>
      <c r="S107" s="80" t="s">
        <v>52</v>
      </c>
      <c r="T107" s="80" t="s">
        <v>52</v>
      </c>
      <c r="U107" s="80" t="s">
        <v>52</v>
      </c>
      <c r="V107" s="171">
        <v>-131</v>
      </c>
      <c r="W107" s="80" t="s">
        <v>52</v>
      </c>
      <c r="X107" s="80" t="s">
        <v>52</v>
      </c>
      <c r="Y107" s="80" t="s">
        <v>52</v>
      </c>
      <c r="Z107" s="80" t="s">
        <v>52</v>
      </c>
      <c r="AA107" s="171">
        <v>-233</v>
      </c>
      <c r="AB107" s="80" t="s">
        <v>52</v>
      </c>
      <c r="AC107" s="80" t="s">
        <v>52</v>
      </c>
      <c r="AD107" s="80" t="s">
        <v>52</v>
      </c>
      <c r="AE107" s="80" t="s">
        <v>52</v>
      </c>
      <c r="AF107" s="171">
        <v>27</v>
      </c>
      <c r="AG107" s="80" t="s">
        <v>52</v>
      </c>
      <c r="AH107" s="80" t="s">
        <v>52</v>
      </c>
      <c r="AI107" s="80" t="s">
        <v>52</v>
      </c>
      <c r="AJ107" s="80" t="s">
        <v>52</v>
      </c>
      <c r="AK107" s="171">
        <v>-39</v>
      </c>
      <c r="AL107" s="152">
        <v>-45</v>
      </c>
      <c r="AM107" s="152">
        <v>-150</v>
      </c>
      <c r="AN107" s="152">
        <v>21</v>
      </c>
      <c r="AO107" s="152">
        <v>-97</v>
      </c>
      <c r="AP107" s="171">
        <v>-271</v>
      </c>
      <c r="AQ107" s="152">
        <v>39</v>
      </c>
      <c r="AR107" s="152">
        <v>-137</v>
      </c>
      <c r="AS107" s="152">
        <v>-12</v>
      </c>
      <c r="AT107" s="152">
        <v>86</v>
      </c>
      <c r="AU107" s="171">
        <v>-24</v>
      </c>
      <c r="AV107" s="152">
        <v>-24</v>
      </c>
      <c r="AW107" s="152">
        <v>-15</v>
      </c>
      <c r="AX107" s="152">
        <v>103</v>
      </c>
      <c r="AY107" s="152">
        <v>-54</v>
      </c>
      <c r="AZ107" s="171">
        <v>10</v>
      </c>
      <c r="BA107" s="152">
        <v>42</v>
      </c>
      <c r="BB107" s="152">
        <v>-152</v>
      </c>
      <c r="BC107" s="152">
        <v>-30</v>
      </c>
      <c r="BD107" s="152">
        <v>2</v>
      </c>
      <c r="BE107" s="171">
        <v>-138</v>
      </c>
    </row>
    <row r="108" spans="1:57" ht="13.5" customHeight="1">
      <c r="A108" s="71"/>
      <c r="B108" s="171"/>
      <c r="C108" s="80"/>
      <c r="D108" s="80"/>
      <c r="E108" s="80"/>
      <c r="F108" s="80"/>
      <c r="G108" s="171"/>
      <c r="H108" s="80"/>
      <c r="I108" s="80"/>
      <c r="J108" s="80"/>
      <c r="K108" s="80"/>
      <c r="L108" s="171"/>
      <c r="M108" s="80"/>
      <c r="N108" s="80"/>
      <c r="O108" s="80"/>
      <c r="P108" s="80"/>
      <c r="Q108" s="171"/>
      <c r="R108" s="80"/>
      <c r="S108" s="80"/>
      <c r="T108" s="80"/>
      <c r="U108" s="80"/>
      <c r="V108" s="171"/>
      <c r="W108" s="80"/>
      <c r="X108" s="80"/>
      <c r="Y108" s="80"/>
      <c r="Z108" s="80"/>
      <c r="AA108" s="171"/>
      <c r="AB108" s="80"/>
      <c r="AC108" s="80"/>
      <c r="AD108" s="80"/>
      <c r="AE108" s="80"/>
      <c r="AF108" s="171"/>
      <c r="AG108" s="80"/>
      <c r="AH108" s="80"/>
      <c r="AI108" s="80"/>
      <c r="AJ108" s="80"/>
      <c r="AK108" s="171"/>
      <c r="AL108" s="152"/>
      <c r="AM108" s="152"/>
      <c r="AN108" s="152"/>
      <c r="AO108" s="152"/>
      <c r="AP108" s="171"/>
      <c r="AQ108" s="152"/>
      <c r="AR108" s="152"/>
      <c r="AS108" s="152"/>
      <c r="AT108" s="152"/>
      <c r="AU108" s="171"/>
      <c r="AV108" s="152"/>
      <c r="AW108" s="152"/>
      <c r="AX108" s="152"/>
      <c r="AY108" s="152"/>
      <c r="AZ108" s="171"/>
      <c r="BA108" s="152"/>
      <c r="BB108" s="152"/>
      <c r="BC108" s="152"/>
      <c r="BD108" s="152"/>
      <c r="BE108" s="171"/>
    </row>
    <row r="109" spans="1:57" ht="15" customHeight="1">
      <c r="A109" s="69" t="s">
        <v>176</v>
      </c>
      <c r="B109" s="123" t="s">
        <v>44</v>
      </c>
      <c r="C109" s="80" t="s">
        <v>52</v>
      </c>
      <c r="D109" s="80" t="s">
        <v>52</v>
      </c>
      <c r="E109" s="80" t="s">
        <v>52</v>
      </c>
      <c r="F109" s="80" t="s">
        <v>52</v>
      </c>
      <c r="G109" s="123" t="s">
        <v>44</v>
      </c>
      <c r="H109" s="80" t="s">
        <v>52</v>
      </c>
      <c r="I109" s="80" t="s">
        <v>52</v>
      </c>
      <c r="J109" s="80" t="s">
        <v>52</v>
      </c>
      <c r="K109" s="80" t="s">
        <v>52</v>
      </c>
      <c r="L109" s="123" t="s">
        <v>44</v>
      </c>
      <c r="M109" s="80" t="s">
        <v>52</v>
      </c>
      <c r="N109" s="80" t="s">
        <v>52</v>
      </c>
      <c r="O109" s="80" t="s">
        <v>52</v>
      </c>
      <c r="P109" s="80" t="s">
        <v>52</v>
      </c>
      <c r="Q109" s="153">
        <v>-136</v>
      </c>
      <c r="R109" s="80" t="s">
        <v>52</v>
      </c>
      <c r="S109" s="80" t="s">
        <v>52</v>
      </c>
      <c r="T109" s="80" t="s">
        <v>52</v>
      </c>
      <c r="U109" s="80" t="s">
        <v>52</v>
      </c>
      <c r="V109" s="153">
        <v>-64</v>
      </c>
      <c r="W109" s="80" t="s">
        <v>52</v>
      </c>
      <c r="X109" s="80" t="s">
        <v>52</v>
      </c>
      <c r="Y109" s="80" t="s">
        <v>52</v>
      </c>
      <c r="Z109" s="80" t="s">
        <v>52</v>
      </c>
      <c r="AA109" s="153">
        <v>-34</v>
      </c>
      <c r="AB109" s="80" t="s">
        <v>52</v>
      </c>
      <c r="AC109" s="80" t="s">
        <v>52</v>
      </c>
      <c r="AD109" s="80" t="s">
        <v>52</v>
      </c>
      <c r="AE109" s="80" t="s">
        <v>52</v>
      </c>
      <c r="AF109" s="153">
        <v>-29</v>
      </c>
      <c r="AG109" s="80" t="s">
        <v>52</v>
      </c>
      <c r="AH109" s="80" t="s">
        <v>52</v>
      </c>
      <c r="AI109" s="80" t="s">
        <v>52</v>
      </c>
      <c r="AJ109" s="80" t="s">
        <v>52</v>
      </c>
      <c r="AK109" s="153">
        <v>-63</v>
      </c>
      <c r="AL109" s="152">
        <v>3</v>
      </c>
      <c r="AM109" s="152">
        <v>6</v>
      </c>
      <c r="AN109" s="152">
        <v>-3</v>
      </c>
      <c r="AO109" s="152">
        <v>12</v>
      </c>
      <c r="AP109" s="171">
        <v>18</v>
      </c>
      <c r="AQ109" s="151">
        <v>-12</v>
      </c>
      <c r="AR109" s="152">
        <v>3</v>
      </c>
      <c r="AS109" s="152">
        <v>-3</v>
      </c>
      <c r="AT109" s="152">
        <v>-7</v>
      </c>
      <c r="AU109" s="171">
        <v>-19</v>
      </c>
      <c r="AV109" s="151">
        <v>1</v>
      </c>
      <c r="AW109" s="151">
        <v>-2</v>
      </c>
      <c r="AX109" s="151">
        <v>16</v>
      </c>
      <c r="AY109" s="152">
        <v>0</v>
      </c>
      <c r="AZ109" s="171">
        <v>15</v>
      </c>
      <c r="BA109" s="151">
        <v>8</v>
      </c>
      <c r="BB109" s="151">
        <v>7</v>
      </c>
      <c r="BC109" s="151">
        <v>-3</v>
      </c>
      <c r="BD109" s="152">
        <v>69</v>
      </c>
      <c r="BE109" s="171">
        <v>81</v>
      </c>
    </row>
    <row r="110" spans="1:57" ht="13.5" customHeight="1">
      <c r="A110" s="69"/>
      <c r="B110" s="171"/>
      <c r="C110" s="80"/>
      <c r="D110" s="80"/>
      <c r="E110" s="80"/>
      <c r="F110" s="80"/>
      <c r="G110" s="171"/>
      <c r="H110" s="80"/>
      <c r="I110" s="80"/>
      <c r="J110" s="80"/>
      <c r="K110" s="80"/>
      <c r="L110" s="171"/>
      <c r="M110" s="80"/>
      <c r="N110" s="80"/>
      <c r="O110" s="80"/>
      <c r="P110" s="80"/>
      <c r="Q110" s="171"/>
      <c r="R110" s="80"/>
      <c r="S110" s="80"/>
      <c r="T110" s="80"/>
      <c r="U110" s="80"/>
      <c r="V110" s="171"/>
      <c r="W110" s="80"/>
      <c r="X110" s="80"/>
      <c r="Y110" s="80"/>
      <c r="Z110" s="80"/>
      <c r="AA110" s="171"/>
      <c r="AB110" s="80"/>
      <c r="AC110" s="80"/>
      <c r="AD110" s="80"/>
      <c r="AE110" s="80"/>
      <c r="AF110" s="171"/>
      <c r="AG110" s="80"/>
      <c r="AH110" s="80"/>
      <c r="AI110" s="80"/>
      <c r="AJ110" s="80"/>
      <c r="AK110" s="171"/>
      <c r="AL110" s="152"/>
      <c r="AM110" s="152"/>
      <c r="AN110" s="152"/>
      <c r="AO110" s="152"/>
      <c r="AP110" s="171"/>
      <c r="AQ110" s="152"/>
      <c r="AR110" s="152"/>
      <c r="AS110" s="152"/>
      <c r="AT110" s="152"/>
      <c r="AU110" s="171"/>
      <c r="AV110" s="152"/>
      <c r="AW110" s="152"/>
      <c r="AX110" s="152"/>
      <c r="AY110" s="152"/>
      <c r="AZ110" s="171"/>
      <c r="BA110" s="152"/>
      <c r="BB110" s="152"/>
      <c r="BC110" s="152"/>
      <c r="BD110" s="152"/>
      <c r="BE110" s="171"/>
    </row>
    <row r="111" spans="1:57" ht="13.5" customHeight="1">
      <c r="A111" s="69" t="s">
        <v>177</v>
      </c>
      <c r="B111" s="123" t="s">
        <v>44</v>
      </c>
      <c r="C111" s="80" t="s">
        <v>52</v>
      </c>
      <c r="D111" s="80" t="s">
        <v>52</v>
      </c>
      <c r="E111" s="80" t="s">
        <v>52</v>
      </c>
      <c r="F111" s="80" t="s">
        <v>52</v>
      </c>
      <c r="G111" s="123" t="s">
        <v>44</v>
      </c>
      <c r="H111" s="80" t="s">
        <v>52</v>
      </c>
      <c r="I111" s="80" t="s">
        <v>52</v>
      </c>
      <c r="J111" s="80" t="s">
        <v>52</v>
      </c>
      <c r="K111" s="80" t="s">
        <v>52</v>
      </c>
      <c r="L111" s="123" t="s">
        <v>44</v>
      </c>
      <c r="M111" s="80" t="s">
        <v>52</v>
      </c>
      <c r="N111" s="80" t="s">
        <v>52</v>
      </c>
      <c r="O111" s="80" t="s">
        <v>52</v>
      </c>
      <c r="P111" s="80" t="s">
        <v>52</v>
      </c>
      <c r="Q111" s="153">
        <v>-215</v>
      </c>
      <c r="R111" s="80" t="s">
        <v>52</v>
      </c>
      <c r="S111" s="80" t="s">
        <v>52</v>
      </c>
      <c r="T111" s="80" t="s">
        <v>52</v>
      </c>
      <c r="U111" s="80" t="s">
        <v>52</v>
      </c>
      <c r="V111" s="153">
        <v>82</v>
      </c>
      <c r="W111" s="80" t="s">
        <v>52</v>
      </c>
      <c r="X111" s="80" t="s">
        <v>52</v>
      </c>
      <c r="Y111" s="80" t="s">
        <v>52</v>
      </c>
      <c r="Z111" s="80" t="s">
        <v>52</v>
      </c>
      <c r="AA111" s="171">
        <v>-140</v>
      </c>
      <c r="AB111" s="80" t="s">
        <v>52</v>
      </c>
      <c r="AC111" s="80" t="s">
        <v>52</v>
      </c>
      <c r="AD111" s="80" t="s">
        <v>52</v>
      </c>
      <c r="AE111" s="80" t="s">
        <v>52</v>
      </c>
      <c r="AF111" s="153">
        <v>2</v>
      </c>
      <c r="AG111" s="80" t="s">
        <v>52</v>
      </c>
      <c r="AH111" s="80" t="s">
        <v>52</v>
      </c>
      <c r="AI111" s="80" t="s">
        <v>52</v>
      </c>
      <c r="AJ111" s="80" t="s">
        <v>52</v>
      </c>
      <c r="AK111" s="171">
        <v>3</v>
      </c>
      <c r="AL111" s="152">
        <v>4</v>
      </c>
      <c r="AM111" s="152">
        <v>-3</v>
      </c>
      <c r="AN111" s="152">
        <v>-1</v>
      </c>
      <c r="AO111" s="152">
        <v>110</v>
      </c>
      <c r="AP111" s="171">
        <v>110</v>
      </c>
      <c r="AQ111" s="36">
        <v>1</v>
      </c>
      <c r="AR111" s="152">
        <v>-9</v>
      </c>
      <c r="AS111" s="152">
        <v>-92</v>
      </c>
      <c r="AT111" s="152">
        <v>35</v>
      </c>
      <c r="AU111" s="171">
        <v>-65</v>
      </c>
      <c r="AV111" s="152">
        <v>-6</v>
      </c>
      <c r="AW111" s="152">
        <v>9</v>
      </c>
      <c r="AX111" s="152">
        <v>-65</v>
      </c>
      <c r="AY111" s="152">
        <v>29</v>
      </c>
      <c r="AZ111" s="171">
        <v>-33</v>
      </c>
      <c r="BA111" s="152">
        <v>7</v>
      </c>
      <c r="BB111" s="152">
        <v>77</v>
      </c>
      <c r="BC111" s="152">
        <v>-40</v>
      </c>
      <c r="BD111" s="152">
        <v>445</v>
      </c>
      <c r="BE111" s="171">
        <v>489</v>
      </c>
    </row>
    <row r="112" spans="1:57" ht="13.5" customHeight="1">
      <c r="A112" s="69"/>
      <c r="B112" s="171"/>
      <c r="C112" s="80"/>
      <c r="D112" s="80"/>
      <c r="E112" s="80"/>
      <c r="F112" s="80"/>
      <c r="G112" s="171"/>
      <c r="H112" s="80"/>
      <c r="I112" s="80"/>
      <c r="J112" s="80"/>
      <c r="K112" s="80"/>
      <c r="L112" s="171"/>
      <c r="M112" s="80"/>
      <c r="N112" s="80"/>
      <c r="O112" s="80"/>
      <c r="P112" s="80"/>
      <c r="Q112" s="171"/>
      <c r="R112" s="80"/>
      <c r="S112" s="80"/>
      <c r="T112" s="80"/>
      <c r="U112" s="80"/>
      <c r="V112" s="171"/>
      <c r="W112" s="80"/>
      <c r="X112" s="80"/>
      <c r="Y112" s="80"/>
      <c r="Z112" s="80"/>
      <c r="AA112" s="171"/>
      <c r="AB112" s="80"/>
      <c r="AC112" s="80"/>
      <c r="AD112" s="80"/>
      <c r="AE112" s="80"/>
      <c r="AF112" s="171"/>
      <c r="AG112" s="80"/>
      <c r="AH112" s="80"/>
      <c r="AI112" s="80"/>
      <c r="AJ112" s="80"/>
      <c r="AK112" s="171"/>
      <c r="AL112" s="152"/>
      <c r="AM112" s="152"/>
      <c r="AN112" s="152"/>
      <c r="AO112" s="152"/>
      <c r="AP112" s="171"/>
      <c r="AQ112" s="152"/>
      <c r="AR112" s="152"/>
      <c r="AS112" s="152"/>
      <c r="AT112" s="152"/>
      <c r="AU112" s="171"/>
      <c r="AV112" s="152"/>
      <c r="AW112" s="152"/>
      <c r="AX112" s="152"/>
      <c r="AY112" s="152"/>
      <c r="AZ112" s="171"/>
      <c r="BA112" s="152"/>
      <c r="BB112" s="152"/>
      <c r="BC112" s="152"/>
      <c r="BD112" s="152"/>
      <c r="BE112" s="171"/>
    </row>
    <row r="113" spans="1:16384" ht="24.75" customHeight="1">
      <c r="A113" s="89" t="s">
        <v>205</v>
      </c>
      <c r="B113" s="123" t="s">
        <v>44</v>
      </c>
      <c r="C113" s="80" t="s">
        <v>52</v>
      </c>
      <c r="D113" s="80" t="s">
        <v>52</v>
      </c>
      <c r="E113" s="80" t="s">
        <v>52</v>
      </c>
      <c r="F113" s="80" t="s">
        <v>52</v>
      </c>
      <c r="G113" s="123" t="s">
        <v>44</v>
      </c>
      <c r="H113" s="80" t="s">
        <v>52</v>
      </c>
      <c r="I113" s="80" t="s">
        <v>52</v>
      </c>
      <c r="J113" s="80" t="s">
        <v>52</v>
      </c>
      <c r="K113" s="80" t="s">
        <v>52</v>
      </c>
      <c r="L113" s="123" t="s">
        <v>44</v>
      </c>
      <c r="M113" s="80" t="s">
        <v>52</v>
      </c>
      <c r="N113" s="80" t="s">
        <v>52</v>
      </c>
      <c r="O113" s="80" t="s">
        <v>52</v>
      </c>
      <c r="P113" s="80" t="s">
        <v>52</v>
      </c>
      <c r="Q113" s="123" t="s">
        <v>44</v>
      </c>
      <c r="R113" s="80" t="s">
        <v>52</v>
      </c>
      <c r="S113" s="80" t="s">
        <v>52</v>
      </c>
      <c r="T113" s="80" t="s">
        <v>52</v>
      </c>
      <c r="U113" s="80" t="s">
        <v>52</v>
      </c>
      <c r="V113" s="171">
        <v>50</v>
      </c>
      <c r="W113" s="80" t="s">
        <v>52</v>
      </c>
      <c r="X113" s="80" t="s">
        <v>52</v>
      </c>
      <c r="Y113" s="80" t="s">
        <v>52</v>
      </c>
      <c r="Z113" s="80" t="s">
        <v>52</v>
      </c>
      <c r="AA113" s="171">
        <v>-31</v>
      </c>
      <c r="AB113" s="80" t="s">
        <v>52</v>
      </c>
      <c r="AC113" s="80" t="s">
        <v>52</v>
      </c>
      <c r="AD113" s="80" t="s">
        <v>52</v>
      </c>
      <c r="AE113" s="80" t="s">
        <v>52</v>
      </c>
      <c r="AF113" s="171">
        <v>11</v>
      </c>
      <c r="AG113" s="80" t="s">
        <v>52</v>
      </c>
      <c r="AH113" s="80" t="s">
        <v>52</v>
      </c>
      <c r="AI113" s="80" t="s">
        <v>52</v>
      </c>
      <c r="AJ113" s="80" t="s">
        <v>52</v>
      </c>
      <c r="AK113" s="171">
        <v>4</v>
      </c>
      <c r="AL113" s="152">
        <v>-1</v>
      </c>
      <c r="AM113" s="152">
        <v>-15</v>
      </c>
      <c r="AN113" s="152">
        <v>8</v>
      </c>
      <c r="AO113" s="152">
        <v>-1</v>
      </c>
      <c r="AP113" s="171">
        <v>-9</v>
      </c>
      <c r="AQ113" s="152">
        <v>-3</v>
      </c>
      <c r="AR113" s="152">
        <v>-5</v>
      </c>
      <c r="AS113" s="152">
        <v>16</v>
      </c>
      <c r="AT113" s="152">
        <v>15</v>
      </c>
      <c r="AU113" s="171">
        <v>23</v>
      </c>
      <c r="AV113" s="152">
        <v>-9</v>
      </c>
      <c r="AW113" s="152">
        <v>-25</v>
      </c>
      <c r="AX113" s="152">
        <v>4</v>
      </c>
      <c r="AY113" s="152">
        <v>-4</v>
      </c>
      <c r="AZ113" s="171">
        <v>-34</v>
      </c>
      <c r="BA113" s="152">
        <v>1</v>
      </c>
      <c r="BB113" s="152">
        <v>-17</v>
      </c>
      <c r="BC113" s="152">
        <v>-2</v>
      </c>
      <c r="BD113" s="152">
        <v>18</v>
      </c>
      <c r="BE113" s="63">
        <v>0</v>
      </c>
    </row>
    <row r="114" spans="1:16384" ht="13.5" customHeight="1">
      <c r="A114" s="172" t="s">
        <v>172</v>
      </c>
      <c r="B114" s="173"/>
      <c r="C114" s="174"/>
      <c r="D114" s="174"/>
      <c r="E114" s="174"/>
      <c r="F114" s="174"/>
      <c r="G114" s="173"/>
      <c r="H114" s="174"/>
      <c r="I114" s="174"/>
      <c r="J114" s="174"/>
      <c r="K114" s="174"/>
      <c r="L114" s="173"/>
      <c r="M114" s="174"/>
      <c r="N114" s="174"/>
      <c r="O114" s="174"/>
      <c r="P114" s="174"/>
      <c r="Q114" s="173">
        <f>SUM(Q103:Q113)</f>
        <v>-588</v>
      </c>
      <c r="R114" s="174"/>
      <c r="S114" s="174"/>
      <c r="T114" s="174"/>
      <c r="U114" s="174"/>
      <c r="V114" s="173">
        <f>SUM(V103:V113)</f>
        <v>-852</v>
      </c>
      <c r="W114" s="175"/>
      <c r="X114" s="175"/>
      <c r="Y114" s="175"/>
      <c r="Z114" s="175"/>
      <c r="AA114" s="173">
        <f>SUM(AA103:AA113)</f>
        <v>141</v>
      </c>
      <c r="AB114" s="176"/>
      <c r="AC114" s="176"/>
      <c r="AD114" s="176"/>
      <c r="AE114" s="176"/>
      <c r="AF114" s="173">
        <v>666</v>
      </c>
      <c r="AG114" s="173"/>
      <c r="AH114" s="173"/>
      <c r="AI114" s="173"/>
      <c r="AJ114" s="173"/>
      <c r="AK114" s="173">
        <v>482</v>
      </c>
      <c r="AL114" s="173">
        <v>54</v>
      </c>
      <c r="AM114" s="173">
        <v>-110</v>
      </c>
      <c r="AN114" s="173">
        <v>82</v>
      </c>
      <c r="AO114" s="173">
        <v>124</v>
      </c>
      <c r="AP114" s="173">
        <v>150</v>
      </c>
      <c r="AQ114" s="173">
        <v>4</v>
      </c>
      <c r="AR114" s="173">
        <v>-59</v>
      </c>
      <c r="AS114" s="173">
        <v>-36</v>
      </c>
      <c r="AT114" s="173">
        <v>92</v>
      </c>
      <c r="AU114" s="173">
        <v>1</v>
      </c>
      <c r="AV114" s="173">
        <v>-65</v>
      </c>
      <c r="AW114" s="173">
        <v>-2</v>
      </c>
      <c r="AX114" s="173">
        <v>165</v>
      </c>
      <c r="AY114" s="173">
        <v>18</v>
      </c>
      <c r="AZ114" s="173">
        <v>116</v>
      </c>
      <c r="BA114" s="173">
        <v>127</v>
      </c>
      <c r="BB114" s="173">
        <v>-7</v>
      </c>
      <c r="BC114" s="173">
        <v>-16</v>
      </c>
      <c r="BD114" s="173">
        <v>564</v>
      </c>
      <c r="BE114" s="173">
        <v>668</v>
      </c>
    </row>
    <row r="115" spans="1:16384" ht="6.6" customHeight="1">
      <c r="A115" s="69"/>
      <c r="B115" s="171"/>
      <c r="C115" s="80"/>
      <c r="D115" s="80"/>
      <c r="E115" s="80"/>
      <c r="F115" s="80"/>
      <c r="G115" s="171"/>
      <c r="H115" s="80"/>
      <c r="I115" s="80"/>
      <c r="J115" s="80"/>
      <c r="K115" s="80"/>
      <c r="L115" s="171"/>
      <c r="M115" s="80"/>
      <c r="N115" s="80"/>
      <c r="O115" s="80"/>
      <c r="P115" s="80"/>
      <c r="Q115" s="171"/>
      <c r="R115" s="80"/>
      <c r="S115" s="80"/>
      <c r="T115" s="80"/>
      <c r="U115" s="80"/>
      <c r="V115" s="171"/>
      <c r="W115" s="70"/>
      <c r="X115" s="70"/>
      <c r="Y115" s="70"/>
      <c r="Z115" s="70"/>
      <c r="AA115" s="171"/>
      <c r="AB115" s="70"/>
      <c r="AC115" s="70"/>
      <c r="AD115" s="70"/>
      <c r="AE115" s="70"/>
      <c r="AF115" s="171"/>
      <c r="AG115" s="152"/>
      <c r="AH115" s="152"/>
      <c r="AI115" s="152"/>
      <c r="AJ115" s="152"/>
      <c r="AK115" s="171"/>
      <c r="AL115" s="152"/>
      <c r="AM115" s="152"/>
      <c r="AN115" s="152"/>
      <c r="AO115" s="152"/>
      <c r="AP115" s="171"/>
      <c r="AQ115" s="152"/>
      <c r="AR115" s="152"/>
      <c r="AS115" s="152"/>
      <c r="AT115" s="152"/>
      <c r="AU115" s="171"/>
      <c r="AV115" s="152"/>
      <c r="AW115" s="152"/>
      <c r="AX115" s="152"/>
      <c r="AY115" s="152"/>
      <c r="AZ115" s="171"/>
      <c r="BA115" s="152"/>
      <c r="BB115" s="152"/>
      <c r="BC115" s="152"/>
      <c r="BD115" s="152"/>
      <c r="BE115" s="171"/>
    </row>
    <row r="116" spans="1:16384" ht="13.5" customHeight="1">
      <c r="A116" s="69" t="s">
        <v>178</v>
      </c>
      <c r="B116" s="123" t="s">
        <v>44</v>
      </c>
      <c r="C116" s="80" t="s">
        <v>52</v>
      </c>
      <c r="D116" s="80" t="s">
        <v>52</v>
      </c>
      <c r="E116" s="80" t="s">
        <v>52</v>
      </c>
      <c r="F116" s="80" t="s">
        <v>52</v>
      </c>
      <c r="G116" s="123" t="s">
        <v>44</v>
      </c>
      <c r="H116" s="80" t="s">
        <v>52</v>
      </c>
      <c r="I116" s="80" t="s">
        <v>52</v>
      </c>
      <c r="J116" s="80" t="s">
        <v>52</v>
      </c>
      <c r="K116" s="80" t="s">
        <v>52</v>
      </c>
      <c r="L116" s="123" t="s">
        <v>44</v>
      </c>
      <c r="M116" s="80" t="s">
        <v>52</v>
      </c>
      <c r="N116" s="80" t="s">
        <v>52</v>
      </c>
      <c r="O116" s="80" t="s">
        <v>52</v>
      </c>
      <c r="P116" s="80" t="s">
        <v>52</v>
      </c>
      <c r="Q116" s="171">
        <v>690</v>
      </c>
      <c r="R116" s="80" t="s">
        <v>52</v>
      </c>
      <c r="S116" s="80" t="s">
        <v>52</v>
      </c>
      <c r="T116" s="80" t="s">
        <v>52</v>
      </c>
      <c r="U116" s="80" t="s">
        <v>52</v>
      </c>
      <c r="V116" s="171">
        <v>649</v>
      </c>
      <c r="W116" s="80" t="s">
        <v>52</v>
      </c>
      <c r="X116" s="80" t="s">
        <v>52</v>
      </c>
      <c r="Y116" s="80" t="s">
        <v>52</v>
      </c>
      <c r="Z116" s="80" t="s">
        <v>52</v>
      </c>
      <c r="AA116" s="171">
        <v>662</v>
      </c>
      <c r="AB116" s="80" t="s">
        <v>52</v>
      </c>
      <c r="AC116" s="80" t="s">
        <v>52</v>
      </c>
      <c r="AD116" s="80" t="s">
        <v>52</v>
      </c>
      <c r="AE116" s="80" t="s">
        <v>52</v>
      </c>
      <c r="AF116" s="171">
        <v>625</v>
      </c>
      <c r="AG116" s="80" t="s">
        <v>52</v>
      </c>
      <c r="AH116" s="80" t="s">
        <v>52</v>
      </c>
      <c r="AI116" s="80" t="s">
        <v>52</v>
      </c>
      <c r="AJ116" s="80" t="s">
        <v>52</v>
      </c>
      <c r="AK116" s="171">
        <v>527</v>
      </c>
      <c r="AL116" s="152">
        <v>53</v>
      </c>
      <c r="AM116" s="152">
        <v>154</v>
      </c>
      <c r="AN116" s="152">
        <v>130</v>
      </c>
      <c r="AO116" s="152">
        <v>125</v>
      </c>
      <c r="AP116" s="171">
        <v>462</v>
      </c>
      <c r="AQ116" s="152">
        <v>105</v>
      </c>
      <c r="AR116" s="152">
        <v>100</v>
      </c>
      <c r="AS116" s="152">
        <v>92</v>
      </c>
      <c r="AT116" s="152">
        <v>158</v>
      </c>
      <c r="AU116" s="171">
        <v>455</v>
      </c>
      <c r="AV116" s="152">
        <v>106</v>
      </c>
      <c r="AW116" s="152">
        <v>122</v>
      </c>
      <c r="AX116" s="152">
        <v>118</v>
      </c>
      <c r="AY116" s="152">
        <v>100</v>
      </c>
      <c r="AZ116" s="171">
        <v>446</v>
      </c>
      <c r="BA116" s="152">
        <v>207</v>
      </c>
      <c r="BB116" s="152">
        <v>93</v>
      </c>
      <c r="BC116" s="152">
        <v>82</v>
      </c>
      <c r="BD116" s="152">
        <v>85</v>
      </c>
      <c r="BE116" s="171">
        <v>467</v>
      </c>
    </row>
    <row r="117" spans="1:16384" ht="4.2" customHeight="1">
      <c r="A117" s="69"/>
      <c r="B117" s="171"/>
      <c r="C117" s="80"/>
      <c r="D117" s="80"/>
      <c r="E117" s="80"/>
      <c r="F117" s="80"/>
      <c r="G117" s="171"/>
      <c r="H117" s="80"/>
      <c r="I117" s="80"/>
      <c r="J117" s="80"/>
      <c r="K117" s="80"/>
      <c r="L117" s="171"/>
      <c r="M117" s="80"/>
      <c r="N117" s="80"/>
      <c r="O117" s="80"/>
      <c r="P117" s="80"/>
      <c r="Q117" s="171"/>
      <c r="R117" s="80"/>
      <c r="S117" s="80"/>
      <c r="T117" s="80"/>
      <c r="U117" s="80"/>
      <c r="V117" s="171"/>
      <c r="W117" s="80"/>
      <c r="X117" s="80"/>
      <c r="Y117" s="80"/>
      <c r="Z117" s="80"/>
      <c r="AA117" s="171"/>
      <c r="AB117" s="80"/>
      <c r="AC117" s="80"/>
      <c r="AD117" s="80"/>
      <c r="AE117" s="80"/>
      <c r="AF117" s="171"/>
      <c r="AG117" s="152"/>
      <c r="AH117" s="152"/>
      <c r="AI117" s="152"/>
      <c r="AJ117" s="152"/>
      <c r="AK117" s="171"/>
      <c r="AL117" s="152"/>
      <c r="AM117" s="152"/>
      <c r="AN117" s="152"/>
      <c r="AO117" s="152"/>
      <c r="AP117" s="171"/>
      <c r="AQ117" s="152"/>
      <c r="AR117" s="152"/>
      <c r="AS117" s="152"/>
      <c r="AT117" s="152"/>
      <c r="AU117" s="171"/>
      <c r="AV117" s="152"/>
      <c r="AW117" s="152"/>
      <c r="AX117" s="152"/>
      <c r="AY117" s="152"/>
      <c r="AZ117" s="171"/>
      <c r="BA117" s="152"/>
      <c r="BB117" s="152"/>
      <c r="BC117" s="152"/>
      <c r="BD117" s="152"/>
      <c r="BE117" s="171"/>
    </row>
    <row r="118" spans="1:16384" ht="11.4" customHeight="1">
      <c r="A118" s="69" t="s">
        <v>179</v>
      </c>
      <c r="B118" s="123" t="s">
        <v>44</v>
      </c>
      <c r="C118" s="80" t="s">
        <v>52</v>
      </c>
      <c r="D118" s="80" t="s">
        <v>52</v>
      </c>
      <c r="E118" s="80" t="s">
        <v>52</v>
      </c>
      <c r="F118" s="80" t="s">
        <v>52</v>
      </c>
      <c r="G118" s="123" t="s">
        <v>44</v>
      </c>
      <c r="H118" s="80" t="s">
        <v>52</v>
      </c>
      <c r="I118" s="80" t="s">
        <v>52</v>
      </c>
      <c r="J118" s="80" t="s">
        <v>52</v>
      </c>
      <c r="K118" s="80" t="s">
        <v>52</v>
      </c>
      <c r="L118" s="123" t="s">
        <v>44</v>
      </c>
      <c r="M118" s="80" t="s">
        <v>52</v>
      </c>
      <c r="N118" s="80" t="s">
        <v>52</v>
      </c>
      <c r="O118" s="80" t="s">
        <v>52</v>
      </c>
      <c r="P118" s="80" t="s">
        <v>52</v>
      </c>
      <c r="Q118" s="171">
        <v>237</v>
      </c>
      <c r="R118" s="80" t="s">
        <v>52</v>
      </c>
      <c r="S118" s="80" t="s">
        <v>52</v>
      </c>
      <c r="T118" s="80" t="s">
        <v>52</v>
      </c>
      <c r="U118" s="80" t="s">
        <v>52</v>
      </c>
      <c r="V118" s="171">
        <v>377</v>
      </c>
      <c r="W118" s="80" t="s">
        <v>52</v>
      </c>
      <c r="X118" s="80" t="s">
        <v>52</v>
      </c>
      <c r="Y118" s="80" t="s">
        <v>52</v>
      </c>
      <c r="Z118" s="80" t="s">
        <v>52</v>
      </c>
      <c r="AA118" s="171">
        <v>464</v>
      </c>
      <c r="AB118" s="80" t="s">
        <v>52</v>
      </c>
      <c r="AC118" s="80" t="s">
        <v>52</v>
      </c>
      <c r="AD118" s="80" t="s">
        <v>52</v>
      </c>
      <c r="AE118" s="80" t="s">
        <v>52</v>
      </c>
      <c r="AF118" s="171">
        <v>453</v>
      </c>
      <c r="AG118" s="80" t="s">
        <v>52</v>
      </c>
      <c r="AH118" s="80" t="s">
        <v>52</v>
      </c>
      <c r="AI118" s="80" t="s">
        <v>52</v>
      </c>
      <c r="AJ118" s="80" t="s">
        <v>52</v>
      </c>
      <c r="AK118" s="171">
        <v>431</v>
      </c>
      <c r="AL118" s="152">
        <v>20</v>
      </c>
      <c r="AM118" s="152">
        <v>223</v>
      </c>
      <c r="AN118" s="152">
        <v>41</v>
      </c>
      <c r="AO118" s="152">
        <v>210</v>
      </c>
      <c r="AP118" s="171">
        <v>494</v>
      </c>
      <c r="AQ118" s="152">
        <v>32</v>
      </c>
      <c r="AR118" s="152">
        <v>192</v>
      </c>
      <c r="AS118" s="152">
        <v>32</v>
      </c>
      <c r="AT118" s="152">
        <v>202</v>
      </c>
      <c r="AU118" s="171">
        <v>458</v>
      </c>
      <c r="AV118" s="152">
        <v>22</v>
      </c>
      <c r="AW118" s="152">
        <v>177</v>
      </c>
      <c r="AX118" s="152">
        <v>18</v>
      </c>
      <c r="AY118" s="152">
        <v>198</v>
      </c>
      <c r="AZ118" s="171">
        <v>415</v>
      </c>
      <c r="BA118" s="152">
        <v>5</v>
      </c>
      <c r="BB118" s="152">
        <v>199</v>
      </c>
      <c r="BC118" s="152">
        <v>5</v>
      </c>
      <c r="BD118" s="152">
        <v>212</v>
      </c>
      <c r="BE118" s="171">
        <v>421</v>
      </c>
    </row>
    <row r="119" spans="1:16384" ht="14.4" customHeight="1">
      <c r="A119" s="79" t="s">
        <v>255</v>
      </c>
      <c r="B119" s="216"/>
      <c r="C119" s="217"/>
      <c r="D119" s="217"/>
      <c r="E119" s="217"/>
      <c r="F119" s="218"/>
      <c r="G119" s="216"/>
      <c r="H119" s="217"/>
      <c r="I119" s="217"/>
      <c r="J119" s="217"/>
      <c r="K119" s="218"/>
      <c r="L119" s="216"/>
      <c r="M119" s="217"/>
      <c r="N119" s="217"/>
      <c r="O119" s="217"/>
      <c r="P119" s="218"/>
      <c r="Q119" s="216"/>
      <c r="R119" s="217"/>
      <c r="S119" s="217"/>
      <c r="T119" s="217"/>
      <c r="U119" s="218"/>
      <c r="V119" s="216"/>
      <c r="W119" s="217"/>
      <c r="X119" s="217"/>
      <c r="Y119" s="217"/>
      <c r="Z119" s="218"/>
      <c r="AA119" s="216"/>
      <c r="AB119" s="217"/>
      <c r="AC119" s="217"/>
      <c r="AD119" s="217"/>
      <c r="AE119" s="218"/>
      <c r="AF119" s="216"/>
      <c r="AG119" s="217"/>
      <c r="AH119" s="217"/>
      <c r="AI119" s="217"/>
      <c r="AJ119" s="218"/>
      <c r="AK119" s="171">
        <v>3314</v>
      </c>
      <c r="AL119" s="152">
        <v>907</v>
      </c>
      <c r="AM119" s="152">
        <v>950</v>
      </c>
      <c r="AN119" s="152">
        <v>968</v>
      </c>
      <c r="AO119" s="152">
        <v>765</v>
      </c>
      <c r="AP119" s="171">
        <v>3590</v>
      </c>
      <c r="AQ119" s="152">
        <v>918</v>
      </c>
      <c r="AR119" s="152">
        <v>929</v>
      </c>
      <c r="AS119" s="152">
        <v>938</v>
      </c>
      <c r="AT119" s="152">
        <v>740</v>
      </c>
      <c r="AU119" s="171">
        <v>3525</v>
      </c>
      <c r="AV119" s="152">
        <v>891</v>
      </c>
      <c r="AW119" s="152">
        <v>877</v>
      </c>
      <c r="AX119" s="152">
        <v>817</v>
      </c>
      <c r="AY119" s="152">
        <v>824</v>
      </c>
      <c r="AZ119" s="171">
        <v>3409</v>
      </c>
      <c r="BA119" s="152">
        <v>656</v>
      </c>
      <c r="BB119" s="152">
        <v>717</v>
      </c>
      <c r="BC119" s="152">
        <v>790</v>
      </c>
      <c r="BD119" s="152">
        <v>681</v>
      </c>
      <c r="BE119" s="171">
        <v>2844</v>
      </c>
    </row>
    <row r="120" spans="1:16384" ht="11.4" customHeight="1">
      <c r="A120" s="79"/>
      <c r="B120" s="216"/>
      <c r="C120" s="217"/>
      <c r="D120" s="217"/>
      <c r="E120" s="217"/>
      <c r="F120" s="218"/>
      <c r="G120" s="216"/>
      <c r="H120" s="217"/>
      <c r="I120" s="217"/>
      <c r="J120" s="217"/>
      <c r="K120" s="218"/>
      <c r="L120" s="216"/>
      <c r="M120" s="217"/>
      <c r="N120" s="217"/>
      <c r="O120" s="217"/>
      <c r="P120" s="218"/>
      <c r="Q120" s="216"/>
      <c r="R120" s="217"/>
      <c r="S120" s="217"/>
      <c r="T120" s="217"/>
      <c r="U120" s="218"/>
      <c r="V120" s="216"/>
      <c r="W120" s="217"/>
      <c r="X120" s="217"/>
      <c r="Y120" s="217"/>
      <c r="Z120" s="218"/>
      <c r="AA120" s="216"/>
      <c r="AB120" s="217"/>
      <c r="AC120" s="217"/>
      <c r="AD120" s="217"/>
      <c r="AE120" s="218"/>
      <c r="AF120" s="216"/>
      <c r="AG120" s="217"/>
      <c r="AH120" s="217"/>
      <c r="AI120" s="217"/>
      <c r="AJ120" s="218"/>
      <c r="AK120" s="171"/>
      <c r="AL120" s="152"/>
      <c r="AM120" s="152"/>
      <c r="AN120" s="152"/>
      <c r="AO120" s="152"/>
      <c r="AP120" s="171"/>
      <c r="AQ120" s="152"/>
      <c r="AR120" s="152"/>
      <c r="AS120" s="152"/>
      <c r="AT120" s="152"/>
      <c r="AU120" s="171"/>
      <c r="AV120" s="152"/>
      <c r="AW120" s="152"/>
      <c r="AX120" s="152"/>
      <c r="AY120" s="152"/>
      <c r="AZ120" s="171"/>
      <c r="BA120" s="152"/>
      <c r="BB120" s="152"/>
      <c r="BC120" s="152"/>
      <c r="BD120" s="152"/>
      <c r="BE120" s="171"/>
    </row>
    <row r="121" spans="1:16384">
      <c r="A121" s="50" t="s">
        <v>46</v>
      </c>
      <c r="B121" s="41"/>
      <c r="C121" s="51"/>
      <c r="D121" s="51"/>
      <c r="E121" s="51"/>
      <c r="F121" s="51"/>
      <c r="G121" s="41"/>
      <c r="H121" s="51"/>
      <c r="I121" s="51"/>
      <c r="J121" s="51"/>
      <c r="K121" s="51"/>
      <c r="L121" s="41"/>
      <c r="M121" s="51"/>
      <c r="N121" s="51"/>
      <c r="O121" s="51"/>
      <c r="P121" s="51"/>
      <c r="Q121" s="41"/>
      <c r="R121" s="51"/>
      <c r="S121" s="51"/>
      <c r="T121" s="51"/>
      <c r="U121" s="51"/>
      <c r="V121" s="41"/>
      <c r="W121" s="51"/>
      <c r="X121" s="51"/>
      <c r="Y121" s="51"/>
      <c r="Z121" s="51"/>
      <c r="AA121" s="41"/>
      <c r="AB121" s="51"/>
      <c r="AC121" s="51"/>
      <c r="AD121" s="51"/>
      <c r="AE121" s="51"/>
      <c r="AF121" s="41"/>
      <c r="AG121" s="51"/>
      <c r="AH121" s="51"/>
      <c r="AI121" s="51"/>
      <c r="AJ121" s="51"/>
      <c r="AK121" s="41"/>
      <c r="AL121" s="51"/>
      <c r="AM121" s="51"/>
      <c r="AN121" s="51"/>
      <c r="AO121" s="51"/>
      <c r="AP121" s="41"/>
      <c r="AQ121" s="51"/>
      <c r="AR121" s="51"/>
      <c r="AS121" s="51"/>
      <c r="AT121" s="51"/>
      <c r="AU121" s="41"/>
      <c r="AV121" s="51"/>
      <c r="AW121" s="51"/>
      <c r="AX121" s="51"/>
      <c r="AY121" s="51"/>
      <c r="AZ121" s="41"/>
      <c r="BA121" s="51"/>
      <c r="BB121" s="51"/>
      <c r="BC121" s="51"/>
      <c r="BD121" s="51"/>
      <c r="BE121" s="41"/>
    </row>
    <row r="122" spans="1:16384" ht="6.6" customHeight="1">
      <c r="A122" s="69"/>
      <c r="B122" s="69"/>
      <c r="C122" s="69"/>
      <c r="D122" s="69"/>
      <c r="E122" s="69"/>
      <c r="F122" s="69"/>
      <c r="G122" s="69"/>
      <c r="H122" s="69"/>
      <c r="I122" s="69"/>
      <c r="J122" s="69"/>
      <c r="K122" s="69"/>
      <c r="L122" s="69"/>
      <c r="M122" s="69"/>
      <c r="N122" s="69"/>
      <c r="O122" s="69"/>
      <c r="P122" s="69"/>
      <c r="Q122" s="216"/>
      <c r="R122" s="69"/>
      <c r="S122" s="69"/>
      <c r="T122" s="69"/>
      <c r="U122" s="69"/>
      <c r="V122" s="216"/>
      <c r="W122" s="69"/>
      <c r="X122" s="69"/>
      <c r="Y122" s="69"/>
      <c r="Z122" s="69"/>
      <c r="AA122" s="216"/>
      <c r="AB122" s="69"/>
      <c r="AC122" s="69"/>
      <c r="AD122" s="69"/>
      <c r="AE122" s="69"/>
      <c r="AF122" s="216"/>
      <c r="AG122" s="69"/>
      <c r="AH122" s="69"/>
      <c r="AI122" s="69"/>
      <c r="AJ122" s="69"/>
      <c r="AK122" s="216"/>
      <c r="AL122" s="69"/>
      <c r="AM122" s="69"/>
      <c r="AN122" s="69"/>
      <c r="AO122" s="69"/>
      <c r="AP122" s="216"/>
      <c r="AQ122" s="69"/>
      <c r="AR122" s="69"/>
      <c r="AS122" s="69"/>
      <c r="AT122" s="69"/>
      <c r="AU122" s="216"/>
      <c r="AV122" s="69"/>
      <c r="AW122" s="69"/>
      <c r="AX122" s="69"/>
      <c r="AY122" s="69"/>
      <c r="AZ122" s="216"/>
      <c r="BA122" s="69"/>
      <c r="BB122" s="69"/>
      <c r="BC122" s="69"/>
      <c r="BD122" s="69"/>
      <c r="BE122" s="216"/>
      <c r="BF122" s="69"/>
      <c r="BG122" s="69"/>
      <c r="BH122" s="69"/>
      <c r="BI122" s="69"/>
      <c r="BJ122" s="69"/>
      <c r="BK122" s="69"/>
      <c r="BL122" s="69"/>
      <c r="BM122" s="69"/>
      <c r="BN122" s="69"/>
      <c r="BO122" s="69"/>
      <c r="BP122" s="69"/>
      <c r="BQ122" s="69"/>
      <c r="BR122" s="69"/>
      <c r="BS122" s="69"/>
      <c r="BT122" s="69"/>
      <c r="BU122" s="69"/>
      <c r="BV122" s="69"/>
      <c r="BW122" s="69"/>
      <c r="BX122" s="69"/>
      <c r="BY122" s="69"/>
      <c r="BZ122" s="69"/>
      <c r="CA122" s="69"/>
      <c r="CB122" s="69"/>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69"/>
      <c r="DK122" s="69"/>
      <c r="DL122" s="69"/>
      <c r="DM122" s="69"/>
      <c r="DN122" s="69"/>
      <c r="DO122" s="69"/>
      <c r="DP122" s="69"/>
      <c r="DQ122" s="69"/>
      <c r="DR122" s="69"/>
      <c r="DS122" s="69"/>
      <c r="DT122" s="69"/>
      <c r="DU122" s="69"/>
      <c r="DV122" s="69"/>
      <c r="DW122" s="69"/>
      <c r="DX122" s="69"/>
      <c r="DY122" s="69"/>
      <c r="DZ122" s="69"/>
      <c r="EA122" s="69"/>
      <c r="EB122" s="69"/>
      <c r="EC122" s="69"/>
      <c r="ED122" s="69"/>
      <c r="EE122" s="69"/>
      <c r="EF122" s="69"/>
      <c r="EG122" s="69"/>
      <c r="EH122" s="69"/>
      <c r="EI122" s="69"/>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c r="GB122" s="69"/>
      <c r="GC122" s="69"/>
      <c r="GD122" s="69"/>
      <c r="GE122" s="69"/>
      <c r="GF122" s="69"/>
      <c r="GG122" s="69"/>
      <c r="GH122" s="69"/>
      <c r="GI122" s="69"/>
      <c r="GJ122" s="69"/>
      <c r="GK122" s="69"/>
      <c r="GL122" s="69"/>
      <c r="GM122" s="69"/>
      <c r="GN122" s="69"/>
      <c r="GO122" s="69"/>
      <c r="GP122" s="69"/>
      <c r="GQ122" s="69"/>
      <c r="GR122" s="69"/>
      <c r="GS122" s="69"/>
      <c r="GT122" s="69"/>
      <c r="GU122" s="69"/>
      <c r="GV122" s="69"/>
      <c r="GW122" s="69"/>
      <c r="GX122" s="69"/>
      <c r="GY122" s="69"/>
      <c r="GZ122" s="69"/>
      <c r="HA122" s="69"/>
      <c r="HB122" s="69"/>
      <c r="HC122" s="69"/>
      <c r="HD122" s="69"/>
      <c r="HE122" s="69"/>
      <c r="HF122" s="69"/>
      <c r="HG122" s="69"/>
      <c r="HH122" s="69"/>
      <c r="HI122" s="69"/>
      <c r="HJ122" s="69"/>
      <c r="HK122" s="69"/>
      <c r="HL122" s="69"/>
      <c r="HM122" s="69"/>
      <c r="HN122" s="69"/>
      <c r="HO122" s="69"/>
      <c r="HP122" s="69"/>
      <c r="HQ122" s="69"/>
      <c r="HR122" s="69"/>
      <c r="HS122" s="69"/>
      <c r="HT122" s="69"/>
      <c r="HU122" s="69"/>
      <c r="HV122" s="69"/>
      <c r="HW122" s="69"/>
      <c r="HX122" s="69"/>
      <c r="HY122" s="69"/>
      <c r="HZ122" s="69"/>
      <c r="IA122" s="69"/>
      <c r="IB122" s="69"/>
      <c r="IC122" s="69"/>
      <c r="ID122" s="69"/>
      <c r="IE122" s="69"/>
      <c r="IF122" s="69"/>
      <c r="IG122" s="69"/>
      <c r="IH122" s="69"/>
      <c r="II122" s="69"/>
      <c r="IJ122" s="69"/>
      <c r="IK122" s="69"/>
      <c r="IL122" s="69"/>
      <c r="IM122" s="69"/>
      <c r="IN122" s="69"/>
      <c r="IO122" s="69"/>
      <c r="IP122" s="69"/>
      <c r="IQ122" s="69"/>
      <c r="IR122" s="69"/>
      <c r="IS122" s="69"/>
      <c r="IT122" s="69"/>
      <c r="IU122" s="69"/>
      <c r="IV122" s="69"/>
      <c r="IW122" s="69"/>
      <c r="IX122" s="69"/>
      <c r="IY122" s="69"/>
      <c r="IZ122" s="69"/>
      <c r="JA122" s="69"/>
      <c r="JB122" s="69"/>
      <c r="JC122" s="69"/>
      <c r="JD122" s="69"/>
      <c r="JE122" s="69"/>
      <c r="JF122" s="69"/>
      <c r="JG122" s="69"/>
      <c r="JH122" s="69"/>
      <c r="JI122" s="69"/>
      <c r="JJ122" s="69"/>
      <c r="JK122" s="69"/>
      <c r="JL122" s="69"/>
      <c r="JM122" s="69"/>
      <c r="JN122" s="69"/>
      <c r="JO122" s="69"/>
      <c r="JP122" s="69"/>
      <c r="JQ122" s="69"/>
      <c r="JR122" s="69"/>
      <c r="JS122" s="69"/>
      <c r="JT122" s="69"/>
      <c r="JU122" s="69"/>
      <c r="JV122" s="69"/>
      <c r="JW122" s="69"/>
      <c r="JX122" s="69"/>
      <c r="JY122" s="69"/>
      <c r="JZ122" s="69"/>
      <c r="KA122" s="69"/>
      <c r="KB122" s="69"/>
      <c r="KC122" s="69"/>
      <c r="KD122" s="69"/>
      <c r="KE122" s="69"/>
      <c r="KF122" s="69"/>
      <c r="KG122" s="69"/>
      <c r="KH122" s="69"/>
      <c r="KI122" s="69"/>
      <c r="KJ122" s="69"/>
      <c r="KK122" s="69"/>
      <c r="KL122" s="69"/>
      <c r="KM122" s="69"/>
      <c r="KN122" s="69"/>
      <c r="KO122" s="69"/>
      <c r="KP122" s="69"/>
      <c r="KQ122" s="69"/>
      <c r="KR122" s="69"/>
      <c r="KS122" s="69"/>
      <c r="KT122" s="69"/>
      <c r="KU122" s="69"/>
      <c r="KV122" s="69"/>
      <c r="KW122" s="69"/>
      <c r="KX122" s="69"/>
      <c r="KY122" s="69"/>
      <c r="KZ122" s="69"/>
      <c r="LA122" s="69"/>
      <c r="LB122" s="69"/>
      <c r="LC122" s="69"/>
      <c r="LD122" s="69"/>
      <c r="LE122" s="69"/>
      <c r="LF122" s="69"/>
      <c r="LG122" s="69"/>
      <c r="LH122" s="69"/>
      <c r="LI122" s="69"/>
      <c r="LJ122" s="69"/>
      <c r="LK122" s="69"/>
      <c r="LL122" s="69"/>
      <c r="LM122" s="69"/>
      <c r="LN122" s="69"/>
      <c r="LO122" s="69"/>
      <c r="LP122" s="69"/>
      <c r="LQ122" s="69"/>
      <c r="LR122" s="69"/>
      <c r="LS122" s="69"/>
      <c r="LT122" s="69"/>
      <c r="LU122" s="69"/>
      <c r="LV122" s="69"/>
      <c r="LW122" s="69"/>
      <c r="LX122" s="69"/>
      <c r="LY122" s="69"/>
      <c r="LZ122" s="69"/>
      <c r="MA122" s="69"/>
      <c r="MB122" s="69"/>
      <c r="MC122" s="69"/>
      <c r="MD122" s="69"/>
      <c r="ME122" s="69"/>
      <c r="MF122" s="69"/>
      <c r="MG122" s="69"/>
      <c r="MH122" s="69"/>
      <c r="MI122" s="69"/>
      <c r="MJ122" s="69"/>
      <c r="MK122" s="69"/>
      <c r="ML122" s="69"/>
      <c r="MM122" s="69"/>
      <c r="MN122" s="69"/>
      <c r="MO122" s="69"/>
      <c r="MP122" s="69"/>
      <c r="MQ122" s="69"/>
      <c r="MR122" s="69"/>
      <c r="MS122" s="69"/>
      <c r="MT122" s="69"/>
      <c r="MU122" s="69"/>
      <c r="MV122" s="69"/>
      <c r="MW122" s="69"/>
      <c r="MX122" s="69"/>
      <c r="MY122" s="69"/>
      <c r="MZ122" s="69"/>
      <c r="NA122" s="69"/>
      <c r="NB122" s="69"/>
      <c r="NC122" s="69"/>
      <c r="ND122" s="69"/>
      <c r="NE122" s="69"/>
      <c r="NF122" s="69"/>
      <c r="NG122" s="69"/>
      <c r="NH122" s="69"/>
      <c r="NI122" s="69"/>
      <c r="NJ122" s="69"/>
      <c r="NK122" s="69"/>
      <c r="NL122" s="69"/>
      <c r="NM122" s="69"/>
      <c r="NN122" s="69"/>
      <c r="NO122" s="69"/>
      <c r="NP122" s="69"/>
      <c r="NQ122" s="69"/>
      <c r="NR122" s="69"/>
      <c r="NS122" s="69"/>
      <c r="NT122" s="69"/>
      <c r="NU122" s="69"/>
      <c r="NV122" s="69"/>
      <c r="NW122" s="69"/>
      <c r="NX122" s="69"/>
      <c r="NY122" s="69"/>
      <c r="NZ122" s="69"/>
      <c r="OA122" s="69"/>
      <c r="OB122" s="69"/>
      <c r="OC122" s="69"/>
      <c r="OD122" s="69"/>
      <c r="OE122" s="69"/>
      <c r="OF122" s="69"/>
      <c r="OG122" s="69"/>
      <c r="OH122" s="69"/>
      <c r="OI122" s="69"/>
      <c r="OJ122" s="69"/>
      <c r="OK122" s="69"/>
      <c r="OL122" s="69"/>
      <c r="OM122" s="69"/>
      <c r="ON122" s="69"/>
      <c r="OO122" s="69"/>
      <c r="OP122" s="69"/>
      <c r="OQ122" s="69"/>
      <c r="OR122" s="69"/>
      <c r="OS122" s="69"/>
      <c r="OT122" s="69"/>
      <c r="OU122" s="69"/>
      <c r="OV122" s="69"/>
      <c r="OW122" s="69"/>
      <c r="OX122" s="69"/>
      <c r="OY122" s="69"/>
      <c r="OZ122" s="69"/>
      <c r="PA122" s="69"/>
      <c r="PB122" s="69"/>
      <c r="PC122" s="69"/>
      <c r="PD122" s="69"/>
      <c r="PE122" s="69"/>
      <c r="PF122" s="69"/>
      <c r="PG122" s="69"/>
      <c r="PH122" s="69"/>
      <c r="PI122" s="69"/>
      <c r="PJ122" s="69"/>
      <c r="PK122" s="69"/>
      <c r="PL122" s="69"/>
      <c r="PM122" s="69"/>
      <c r="PN122" s="69"/>
      <c r="PO122" s="69"/>
      <c r="PP122" s="69"/>
      <c r="PQ122" s="69"/>
      <c r="PR122" s="69"/>
      <c r="PS122" s="69"/>
      <c r="PT122" s="69"/>
      <c r="PU122" s="69"/>
      <c r="PV122" s="69"/>
      <c r="PW122" s="69"/>
      <c r="PX122" s="69"/>
      <c r="PY122" s="69"/>
      <c r="PZ122" s="69"/>
      <c r="QA122" s="69"/>
      <c r="QB122" s="69"/>
      <c r="QC122" s="69"/>
      <c r="QD122" s="69"/>
      <c r="QE122" s="69"/>
      <c r="QF122" s="69"/>
      <c r="QG122" s="69"/>
      <c r="QH122" s="69"/>
      <c r="QI122" s="69"/>
      <c r="QJ122" s="69"/>
      <c r="QK122" s="69"/>
      <c r="QL122" s="69"/>
      <c r="QM122" s="69"/>
      <c r="QN122" s="69"/>
      <c r="QO122" s="69"/>
      <c r="QP122" s="69"/>
      <c r="QQ122" s="69"/>
      <c r="QR122" s="69"/>
      <c r="QS122" s="69"/>
      <c r="QT122" s="69"/>
      <c r="QU122" s="69"/>
      <c r="QV122" s="69"/>
      <c r="QW122" s="69"/>
      <c r="QX122" s="69"/>
      <c r="QY122" s="69"/>
      <c r="QZ122" s="69"/>
      <c r="RA122" s="69"/>
      <c r="RB122" s="69"/>
      <c r="RC122" s="69"/>
      <c r="RD122" s="69"/>
      <c r="RE122" s="69"/>
      <c r="RF122" s="69"/>
      <c r="RG122" s="69"/>
      <c r="RH122" s="69"/>
      <c r="RI122" s="69"/>
      <c r="RJ122" s="69"/>
      <c r="RK122" s="69"/>
      <c r="RL122" s="69"/>
      <c r="RM122" s="69"/>
      <c r="RN122" s="69"/>
      <c r="RO122" s="69"/>
      <c r="RP122" s="69"/>
      <c r="RQ122" s="69"/>
      <c r="RR122" s="69"/>
      <c r="RS122" s="69"/>
      <c r="RT122" s="69"/>
      <c r="RU122" s="69"/>
      <c r="RV122" s="69"/>
      <c r="RW122" s="69"/>
      <c r="RX122" s="69"/>
      <c r="RY122" s="69"/>
      <c r="RZ122" s="69"/>
      <c r="SA122" s="69"/>
      <c r="SB122" s="69"/>
      <c r="SC122" s="69"/>
      <c r="SD122" s="69"/>
      <c r="SE122" s="69"/>
      <c r="SF122" s="69"/>
      <c r="SG122" s="69"/>
      <c r="SH122" s="69"/>
      <c r="SI122" s="69"/>
      <c r="SJ122" s="69"/>
      <c r="SK122" s="69"/>
      <c r="SL122" s="69"/>
      <c r="SM122" s="69"/>
      <c r="SN122" s="69"/>
      <c r="SO122" s="69"/>
      <c r="SP122" s="69"/>
      <c r="SQ122" s="69"/>
      <c r="SR122" s="69"/>
      <c r="SS122" s="69"/>
      <c r="ST122" s="69"/>
      <c r="SU122" s="69"/>
      <c r="SV122" s="69"/>
      <c r="SW122" s="69"/>
      <c r="SX122" s="69"/>
      <c r="SY122" s="69"/>
      <c r="SZ122" s="69"/>
      <c r="TA122" s="69"/>
      <c r="TB122" s="69"/>
      <c r="TC122" s="69"/>
      <c r="TD122" s="69"/>
      <c r="TE122" s="69"/>
      <c r="TF122" s="69"/>
      <c r="TG122" s="69"/>
      <c r="TH122" s="69"/>
      <c r="TI122" s="69"/>
      <c r="TJ122" s="69"/>
      <c r="TK122" s="69"/>
      <c r="TL122" s="69"/>
      <c r="TM122" s="69"/>
      <c r="TN122" s="69"/>
      <c r="TO122" s="69"/>
      <c r="TP122" s="69"/>
      <c r="TQ122" s="69"/>
      <c r="TR122" s="69"/>
      <c r="TS122" s="69"/>
      <c r="TT122" s="69"/>
      <c r="TU122" s="69"/>
      <c r="TV122" s="69"/>
      <c r="TW122" s="69"/>
      <c r="TX122" s="69"/>
      <c r="TY122" s="69"/>
      <c r="TZ122" s="69"/>
      <c r="UA122" s="69"/>
      <c r="UB122" s="69"/>
      <c r="UC122" s="69"/>
      <c r="UD122" s="69"/>
      <c r="UE122" s="69"/>
      <c r="UF122" s="69"/>
      <c r="UG122" s="69"/>
      <c r="UH122" s="69"/>
      <c r="UI122" s="69"/>
      <c r="UJ122" s="69"/>
      <c r="UK122" s="69"/>
      <c r="UL122" s="69"/>
      <c r="UM122" s="69"/>
      <c r="UN122" s="69"/>
      <c r="UO122" s="69"/>
      <c r="UP122" s="69"/>
      <c r="UQ122" s="69"/>
      <c r="UR122" s="69"/>
      <c r="US122" s="69"/>
      <c r="UT122" s="69"/>
      <c r="UU122" s="69"/>
      <c r="UV122" s="69"/>
      <c r="UW122" s="69"/>
      <c r="UX122" s="69"/>
      <c r="UY122" s="69"/>
      <c r="UZ122" s="69"/>
      <c r="VA122" s="69"/>
      <c r="VB122" s="69"/>
      <c r="VC122" s="69"/>
      <c r="VD122" s="69"/>
      <c r="VE122" s="69"/>
      <c r="VF122" s="69"/>
      <c r="VG122" s="69"/>
      <c r="VH122" s="69"/>
      <c r="VI122" s="69"/>
      <c r="VJ122" s="69"/>
      <c r="VK122" s="69"/>
      <c r="VL122" s="69"/>
      <c r="VM122" s="69"/>
      <c r="VN122" s="69"/>
      <c r="VO122" s="69"/>
      <c r="VP122" s="69"/>
      <c r="VQ122" s="69"/>
      <c r="VR122" s="69"/>
      <c r="VS122" s="69"/>
      <c r="VT122" s="69"/>
      <c r="VU122" s="69"/>
      <c r="VV122" s="69"/>
      <c r="VW122" s="69"/>
      <c r="VX122" s="69"/>
      <c r="VY122" s="69"/>
      <c r="VZ122" s="69"/>
      <c r="WA122" s="69"/>
      <c r="WB122" s="69"/>
      <c r="WC122" s="69"/>
      <c r="WD122" s="69"/>
      <c r="WE122" s="69"/>
      <c r="WF122" s="69"/>
      <c r="WG122" s="69"/>
      <c r="WH122" s="69"/>
      <c r="WI122" s="69"/>
      <c r="WJ122" s="69"/>
      <c r="WK122" s="69"/>
      <c r="WL122" s="69"/>
      <c r="WM122" s="69"/>
      <c r="WN122" s="69"/>
      <c r="WO122" s="69"/>
      <c r="WP122" s="69"/>
      <c r="WQ122" s="69"/>
      <c r="WR122" s="69"/>
      <c r="WS122" s="69"/>
      <c r="WT122" s="69"/>
      <c r="WU122" s="69"/>
      <c r="WV122" s="69"/>
      <c r="WW122" s="69"/>
      <c r="WX122" s="69"/>
      <c r="WY122" s="69"/>
      <c r="WZ122" s="69"/>
      <c r="XA122" s="69"/>
      <c r="XB122" s="69"/>
      <c r="XC122" s="69"/>
      <c r="XD122" s="69"/>
      <c r="XE122" s="69"/>
      <c r="XF122" s="69"/>
      <c r="XG122" s="69"/>
      <c r="XH122" s="69"/>
      <c r="XI122" s="69"/>
      <c r="XJ122" s="69"/>
      <c r="XK122" s="69"/>
      <c r="XL122" s="69"/>
      <c r="XM122" s="69"/>
      <c r="XN122" s="69"/>
      <c r="XO122" s="69"/>
      <c r="XP122" s="69"/>
      <c r="XQ122" s="69"/>
      <c r="XR122" s="69"/>
      <c r="XS122" s="69"/>
      <c r="XT122" s="69"/>
      <c r="XU122" s="69"/>
      <c r="XV122" s="69"/>
      <c r="XW122" s="69"/>
      <c r="XX122" s="69"/>
      <c r="XY122" s="69"/>
      <c r="XZ122" s="69"/>
      <c r="YA122" s="69"/>
      <c r="YB122" s="69"/>
      <c r="YC122" s="69"/>
      <c r="YD122" s="69"/>
      <c r="YE122" s="69"/>
      <c r="YF122" s="69"/>
      <c r="YG122" s="69"/>
      <c r="YH122" s="69"/>
      <c r="YI122" s="69"/>
      <c r="YJ122" s="69"/>
      <c r="YK122" s="69"/>
      <c r="YL122" s="69"/>
      <c r="YM122" s="69"/>
      <c r="YN122" s="69"/>
      <c r="YO122" s="69"/>
      <c r="YP122" s="69"/>
      <c r="YQ122" s="69"/>
      <c r="YR122" s="69"/>
      <c r="YS122" s="69"/>
      <c r="YT122" s="69"/>
      <c r="YU122" s="69"/>
      <c r="YV122" s="69"/>
      <c r="YW122" s="69"/>
      <c r="YX122" s="69"/>
      <c r="YY122" s="69"/>
      <c r="YZ122" s="69"/>
      <c r="ZA122" s="69"/>
      <c r="ZB122" s="69"/>
      <c r="ZC122" s="69"/>
      <c r="ZD122" s="69"/>
      <c r="ZE122" s="69"/>
      <c r="ZF122" s="69"/>
      <c r="ZG122" s="69"/>
      <c r="ZH122" s="69"/>
      <c r="ZI122" s="69"/>
      <c r="ZJ122" s="69"/>
      <c r="ZK122" s="69"/>
      <c r="ZL122" s="69"/>
      <c r="ZM122" s="69"/>
      <c r="ZN122" s="69"/>
      <c r="ZO122" s="69"/>
      <c r="ZP122" s="69"/>
      <c r="ZQ122" s="69"/>
      <c r="ZR122" s="69"/>
      <c r="ZS122" s="69"/>
      <c r="ZT122" s="69"/>
      <c r="ZU122" s="69"/>
      <c r="ZV122" s="69"/>
      <c r="ZW122" s="69"/>
      <c r="ZX122" s="69"/>
      <c r="ZY122" s="69"/>
      <c r="ZZ122" s="69"/>
      <c r="AAA122" s="69"/>
      <c r="AAB122" s="69"/>
      <c r="AAC122" s="69"/>
      <c r="AAD122" s="69"/>
      <c r="AAE122" s="69"/>
      <c r="AAF122" s="69"/>
      <c r="AAG122" s="69"/>
      <c r="AAH122" s="69"/>
      <c r="AAI122" s="69"/>
      <c r="AAJ122" s="69"/>
      <c r="AAK122" s="69"/>
      <c r="AAL122" s="69"/>
      <c r="AAM122" s="69"/>
      <c r="AAN122" s="69"/>
      <c r="AAO122" s="69"/>
      <c r="AAP122" s="69"/>
      <c r="AAQ122" s="69"/>
      <c r="AAR122" s="69"/>
      <c r="AAS122" s="69"/>
      <c r="AAT122" s="69"/>
      <c r="AAU122" s="69"/>
      <c r="AAV122" s="69"/>
      <c r="AAW122" s="69"/>
      <c r="AAX122" s="69"/>
      <c r="AAY122" s="69"/>
      <c r="AAZ122" s="69"/>
      <c r="ABA122" s="69"/>
      <c r="ABB122" s="69"/>
      <c r="ABC122" s="69"/>
      <c r="ABD122" s="69"/>
      <c r="ABE122" s="69"/>
      <c r="ABF122" s="69"/>
      <c r="ABG122" s="69"/>
      <c r="ABH122" s="69"/>
      <c r="ABI122" s="69"/>
      <c r="ABJ122" s="69"/>
      <c r="ABK122" s="69"/>
      <c r="ABL122" s="69"/>
      <c r="ABM122" s="69"/>
      <c r="ABN122" s="69"/>
      <c r="ABO122" s="69"/>
      <c r="ABP122" s="69"/>
      <c r="ABQ122" s="69"/>
      <c r="ABR122" s="69"/>
      <c r="ABS122" s="69"/>
      <c r="ABT122" s="69"/>
      <c r="ABU122" s="69"/>
      <c r="ABV122" s="69"/>
      <c r="ABW122" s="69"/>
      <c r="ABX122" s="69"/>
      <c r="ABY122" s="69"/>
      <c r="ABZ122" s="69"/>
      <c r="ACA122" s="69"/>
      <c r="ACB122" s="69"/>
      <c r="ACC122" s="69"/>
      <c r="ACD122" s="69"/>
      <c r="ACE122" s="69"/>
      <c r="ACF122" s="69"/>
      <c r="ACG122" s="69"/>
      <c r="ACH122" s="69"/>
      <c r="ACI122" s="69"/>
      <c r="ACJ122" s="69"/>
      <c r="ACK122" s="69"/>
      <c r="ACL122" s="69"/>
      <c r="ACM122" s="69"/>
      <c r="ACN122" s="69"/>
      <c r="ACO122" s="69"/>
      <c r="ACP122" s="69"/>
      <c r="ACQ122" s="69"/>
      <c r="ACR122" s="69"/>
      <c r="ACS122" s="69"/>
      <c r="ACT122" s="69"/>
      <c r="ACU122" s="69"/>
      <c r="ACV122" s="69"/>
      <c r="ACW122" s="69"/>
      <c r="ACX122" s="69"/>
      <c r="ACY122" s="69"/>
      <c r="ACZ122" s="69"/>
      <c r="ADA122" s="69"/>
      <c r="ADB122" s="69"/>
      <c r="ADC122" s="69"/>
      <c r="ADD122" s="69"/>
      <c r="ADE122" s="69"/>
      <c r="ADF122" s="69"/>
      <c r="ADG122" s="69"/>
      <c r="ADH122" s="69"/>
      <c r="ADI122" s="69"/>
      <c r="ADJ122" s="69"/>
      <c r="ADK122" s="69"/>
      <c r="ADL122" s="69"/>
      <c r="ADM122" s="69"/>
      <c r="ADN122" s="69"/>
      <c r="ADO122" s="69"/>
      <c r="ADP122" s="69"/>
      <c r="ADQ122" s="69"/>
      <c r="ADR122" s="69"/>
      <c r="ADS122" s="69"/>
      <c r="ADT122" s="69"/>
      <c r="ADU122" s="69"/>
      <c r="ADV122" s="69"/>
      <c r="ADW122" s="69"/>
      <c r="ADX122" s="69"/>
      <c r="ADY122" s="69"/>
      <c r="ADZ122" s="69"/>
      <c r="AEA122" s="69"/>
      <c r="AEB122" s="69"/>
      <c r="AEC122" s="69"/>
      <c r="AED122" s="69"/>
      <c r="AEE122" s="69"/>
      <c r="AEF122" s="69"/>
      <c r="AEG122" s="69"/>
      <c r="AEH122" s="69"/>
      <c r="AEI122" s="69"/>
      <c r="AEJ122" s="69"/>
      <c r="AEK122" s="69"/>
      <c r="AEL122" s="69"/>
      <c r="AEM122" s="69"/>
      <c r="AEN122" s="69"/>
      <c r="AEO122" s="69"/>
      <c r="AEP122" s="69"/>
      <c r="AEQ122" s="69"/>
      <c r="AER122" s="69"/>
      <c r="AES122" s="69"/>
      <c r="AET122" s="69"/>
      <c r="AEU122" s="69"/>
      <c r="AEV122" s="69"/>
      <c r="AEW122" s="69"/>
      <c r="AEX122" s="69"/>
      <c r="AEY122" s="69"/>
      <c r="AEZ122" s="69"/>
      <c r="AFA122" s="69"/>
      <c r="AFB122" s="69"/>
      <c r="AFC122" s="69"/>
      <c r="AFD122" s="69"/>
      <c r="AFE122" s="69"/>
      <c r="AFF122" s="69"/>
      <c r="AFG122" s="69"/>
      <c r="AFH122" s="69"/>
      <c r="AFI122" s="69"/>
      <c r="AFJ122" s="69"/>
      <c r="AFK122" s="69"/>
      <c r="AFL122" s="69"/>
      <c r="AFM122" s="69"/>
      <c r="AFN122" s="69"/>
      <c r="AFO122" s="69"/>
      <c r="AFP122" s="69"/>
      <c r="AFQ122" s="69"/>
      <c r="AFR122" s="69"/>
      <c r="AFS122" s="69"/>
      <c r="AFT122" s="69"/>
      <c r="AFU122" s="69"/>
      <c r="AFV122" s="69"/>
      <c r="AFW122" s="69"/>
      <c r="AFX122" s="69"/>
      <c r="AFY122" s="69"/>
      <c r="AFZ122" s="69"/>
      <c r="AGA122" s="69"/>
      <c r="AGB122" s="69"/>
      <c r="AGC122" s="69"/>
      <c r="AGD122" s="69"/>
      <c r="AGE122" s="69"/>
      <c r="AGF122" s="69"/>
      <c r="AGG122" s="69"/>
      <c r="AGH122" s="69"/>
      <c r="AGI122" s="69"/>
      <c r="AGJ122" s="69"/>
      <c r="AGK122" s="69"/>
      <c r="AGL122" s="69"/>
      <c r="AGM122" s="69"/>
      <c r="AGN122" s="69"/>
      <c r="AGO122" s="69"/>
      <c r="AGP122" s="69"/>
      <c r="AGQ122" s="69"/>
      <c r="AGR122" s="69"/>
      <c r="AGS122" s="69"/>
      <c r="AGT122" s="69"/>
      <c r="AGU122" s="69"/>
      <c r="AGV122" s="69"/>
      <c r="AGW122" s="69"/>
      <c r="AGX122" s="69"/>
      <c r="AGY122" s="69"/>
      <c r="AGZ122" s="69"/>
      <c r="AHA122" s="69"/>
      <c r="AHB122" s="69"/>
      <c r="AHC122" s="69"/>
      <c r="AHD122" s="69"/>
      <c r="AHE122" s="69"/>
      <c r="AHF122" s="69"/>
      <c r="AHG122" s="69"/>
      <c r="AHH122" s="69"/>
      <c r="AHI122" s="69"/>
      <c r="AHJ122" s="69"/>
      <c r="AHK122" s="69"/>
      <c r="AHL122" s="69"/>
      <c r="AHM122" s="69"/>
      <c r="AHN122" s="69"/>
      <c r="AHO122" s="69"/>
      <c r="AHP122" s="69"/>
      <c r="AHQ122" s="69"/>
      <c r="AHR122" s="69"/>
      <c r="AHS122" s="69"/>
      <c r="AHT122" s="69"/>
      <c r="AHU122" s="69"/>
      <c r="AHV122" s="69"/>
      <c r="AHW122" s="69"/>
      <c r="AHX122" s="69"/>
      <c r="AHY122" s="69"/>
      <c r="AHZ122" s="69"/>
      <c r="AIA122" s="69"/>
      <c r="AIB122" s="69"/>
      <c r="AIC122" s="69"/>
      <c r="AID122" s="69"/>
      <c r="AIE122" s="69"/>
      <c r="AIF122" s="69"/>
      <c r="AIG122" s="69"/>
      <c r="AIH122" s="69"/>
      <c r="AII122" s="69"/>
      <c r="AIJ122" s="69"/>
      <c r="AIK122" s="69"/>
      <c r="AIL122" s="69"/>
      <c r="AIM122" s="69"/>
      <c r="AIN122" s="69"/>
      <c r="AIO122" s="69"/>
      <c r="AIP122" s="69"/>
      <c r="AIQ122" s="69"/>
      <c r="AIR122" s="69"/>
      <c r="AIS122" s="69"/>
      <c r="AIT122" s="69"/>
      <c r="AIU122" s="69"/>
      <c r="AIV122" s="69"/>
      <c r="AIW122" s="69"/>
      <c r="AIX122" s="69"/>
      <c r="AIY122" s="69"/>
      <c r="AIZ122" s="69"/>
      <c r="AJA122" s="69"/>
      <c r="AJB122" s="69"/>
      <c r="AJC122" s="69"/>
      <c r="AJD122" s="69"/>
      <c r="AJE122" s="69"/>
      <c r="AJF122" s="69"/>
      <c r="AJG122" s="69"/>
      <c r="AJH122" s="69"/>
      <c r="AJI122" s="69"/>
      <c r="AJJ122" s="69"/>
      <c r="AJK122" s="69"/>
      <c r="AJL122" s="69"/>
      <c r="AJM122" s="69"/>
      <c r="AJN122" s="69"/>
      <c r="AJO122" s="69"/>
      <c r="AJP122" s="69"/>
      <c r="AJQ122" s="69"/>
      <c r="AJR122" s="69"/>
      <c r="AJS122" s="69"/>
      <c r="AJT122" s="69"/>
      <c r="AJU122" s="69"/>
      <c r="AJV122" s="69"/>
      <c r="AJW122" s="69"/>
      <c r="AJX122" s="69"/>
      <c r="AJY122" s="69"/>
      <c r="AJZ122" s="69"/>
      <c r="AKA122" s="69"/>
      <c r="AKB122" s="69"/>
      <c r="AKC122" s="69"/>
      <c r="AKD122" s="69"/>
      <c r="AKE122" s="69"/>
      <c r="AKF122" s="69"/>
      <c r="AKG122" s="69"/>
      <c r="AKH122" s="69"/>
      <c r="AKI122" s="69"/>
      <c r="AKJ122" s="69"/>
      <c r="AKK122" s="69"/>
      <c r="AKL122" s="69"/>
      <c r="AKM122" s="69"/>
      <c r="AKN122" s="69"/>
      <c r="AKO122" s="69"/>
      <c r="AKP122" s="69"/>
      <c r="AKQ122" s="69"/>
      <c r="AKR122" s="69"/>
      <c r="AKS122" s="69"/>
      <c r="AKT122" s="69"/>
      <c r="AKU122" s="69"/>
      <c r="AKV122" s="69"/>
      <c r="AKW122" s="69"/>
      <c r="AKX122" s="69"/>
      <c r="AKY122" s="69"/>
      <c r="AKZ122" s="69"/>
      <c r="ALA122" s="69"/>
      <c r="ALB122" s="69"/>
      <c r="ALC122" s="69"/>
      <c r="ALD122" s="69"/>
      <c r="ALE122" s="69"/>
      <c r="ALF122" s="69"/>
      <c r="ALG122" s="69"/>
      <c r="ALH122" s="69"/>
      <c r="ALI122" s="69"/>
      <c r="ALJ122" s="69"/>
      <c r="ALK122" s="69"/>
      <c r="ALL122" s="69"/>
      <c r="ALM122" s="69"/>
      <c r="ALN122" s="69"/>
      <c r="ALO122" s="69"/>
      <c r="ALP122" s="69"/>
      <c r="ALQ122" s="69"/>
      <c r="ALR122" s="69"/>
      <c r="ALS122" s="69"/>
      <c r="ALT122" s="69"/>
      <c r="ALU122" s="69"/>
      <c r="ALV122" s="69"/>
      <c r="ALW122" s="69"/>
      <c r="ALX122" s="69"/>
      <c r="ALY122" s="69"/>
      <c r="ALZ122" s="69"/>
      <c r="AMA122" s="69"/>
      <c r="AMB122" s="69"/>
      <c r="AMC122" s="69"/>
      <c r="AMD122" s="69"/>
      <c r="AME122" s="69"/>
      <c r="AMF122" s="69"/>
      <c r="AMG122" s="69"/>
      <c r="AMH122" s="69"/>
      <c r="AMI122" s="69"/>
      <c r="AMJ122" s="69"/>
      <c r="AMK122" s="69"/>
      <c r="AML122" s="69"/>
      <c r="AMM122" s="69"/>
      <c r="AMN122" s="69"/>
      <c r="AMO122" s="69"/>
      <c r="AMP122" s="69"/>
      <c r="AMQ122" s="69"/>
      <c r="AMR122" s="69"/>
      <c r="AMS122" s="69"/>
      <c r="AMT122" s="69"/>
      <c r="AMU122" s="69"/>
      <c r="AMV122" s="69"/>
      <c r="AMW122" s="69"/>
      <c r="AMX122" s="69"/>
      <c r="AMY122" s="69"/>
      <c r="AMZ122" s="69"/>
      <c r="ANA122" s="69"/>
      <c r="ANB122" s="69"/>
      <c r="ANC122" s="69"/>
      <c r="AND122" s="69"/>
      <c r="ANE122" s="69"/>
      <c r="ANF122" s="69"/>
      <c r="ANG122" s="69"/>
      <c r="ANH122" s="69"/>
      <c r="ANI122" s="69"/>
      <c r="ANJ122" s="69"/>
      <c r="ANK122" s="69"/>
      <c r="ANL122" s="69"/>
      <c r="ANM122" s="69"/>
      <c r="ANN122" s="69"/>
      <c r="ANO122" s="69"/>
      <c r="ANP122" s="69"/>
      <c r="ANQ122" s="69"/>
      <c r="ANR122" s="69"/>
      <c r="ANS122" s="69"/>
      <c r="ANT122" s="69"/>
      <c r="ANU122" s="69"/>
      <c r="ANV122" s="69"/>
      <c r="ANW122" s="69"/>
      <c r="ANX122" s="69"/>
      <c r="ANY122" s="69"/>
      <c r="ANZ122" s="69"/>
      <c r="AOA122" s="69"/>
      <c r="AOB122" s="69"/>
      <c r="AOC122" s="69"/>
      <c r="AOD122" s="69"/>
      <c r="AOE122" s="69"/>
      <c r="AOF122" s="69"/>
      <c r="AOG122" s="69"/>
      <c r="AOH122" s="69"/>
      <c r="AOI122" s="69"/>
      <c r="AOJ122" s="69"/>
      <c r="AOK122" s="69"/>
      <c r="AOL122" s="69"/>
      <c r="AOM122" s="69"/>
      <c r="AON122" s="69"/>
      <c r="AOO122" s="69"/>
      <c r="AOP122" s="69"/>
      <c r="AOQ122" s="69"/>
      <c r="AOR122" s="69"/>
      <c r="AOS122" s="69"/>
      <c r="AOT122" s="69"/>
      <c r="AOU122" s="69"/>
      <c r="AOV122" s="69"/>
      <c r="AOW122" s="69"/>
      <c r="AOX122" s="69"/>
      <c r="AOY122" s="69"/>
      <c r="AOZ122" s="69"/>
      <c r="APA122" s="69"/>
      <c r="APB122" s="69"/>
      <c r="APC122" s="69"/>
      <c r="APD122" s="69"/>
      <c r="APE122" s="69"/>
      <c r="APF122" s="69"/>
      <c r="APG122" s="69"/>
      <c r="APH122" s="69"/>
      <c r="API122" s="69"/>
      <c r="APJ122" s="69"/>
      <c r="APK122" s="69"/>
      <c r="APL122" s="69"/>
      <c r="APM122" s="69"/>
      <c r="APN122" s="69"/>
      <c r="APO122" s="69"/>
      <c r="APP122" s="69"/>
      <c r="APQ122" s="69"/>
      <c r="APR122" s="69"/>
      <c r="APS122" s="69"/>
      <c r="APT122" s="69"/>
      <c r="APU122" s="69"/>
      <c r="APV122" s="69"/>
      <c r="APW122" s="69"/>
      <c r="APX122" s="69"/>
      <c r="APY122" s="69"/>
      <c r="APZ122" s="69"/>
      <c r="AQA122" s="69"/>
      <c r="AQB122" s="69"/>
      <c r="AQC122" s="69"/>
      <c r="AQD122" s="69"/>
      <c r="AQE122" s="69"/>
      <c r="AQF122" s="69"/>
      <c r="AQG122" s="69"/>
      <c r="AQH122" s="69"/>
      <c r="AQI122" s="69"/>
      <c r="AQJ122" s="69"/>
      <c r="AQK122" s="69"/>
      <c r="AQL122" s="69"/>
      <c r="AQM122" s="69"/>
      <c r="AQN122" s="69"/>
      <c r="AQO122" s="69"/>
      <c r="AQP122" s="69"/>
      <c r="AQQ122" s="69"/>
      <c r="AQR122" s="69"/>
      <c r="AQS122" s="69"/>
      <c r="AQT122" s="69"/>
      <c r="AQU122" s="69"/>
      <c r="AQV122" s="69"/>
      <c r="AQW122" s="69"/>
      <c r="AQX122" s="69"/>
      <c r="AQY122" s="69"/>
      <c r="AQZ122" s="69"/>
      <c r="ARA122" s="69"/>
      <c r="ARB122" s="69"/>
      <c r="ARC122" s="69"/>
      <c r="ARD122" s="69"/>
      <c r="ARE122" s="69"/>
      <c r="ARF122" s="69"/>
      <c r="ARG122" s="69"/>
      <c r="ARH122" s="69"/>
      <c r="ARI122" s="69"/>
      <c r="ARJ122" s="69"/>
      <c r="ARK122" s="69"/>
      <c r="ARL122" s="69"/>
      <c r="ARM122" s="69"/>
      <c r="ARN122" s="69"/>
      <c r="ARO122" s="69"/>
      <c r="ARP122" s="69"/>
      <c r="ARQ122" s="69"/>
      <c r="ARR122" s="69"/>
      <c r="ARS122" s="69"/>
      <c r="ART122" s="69"/>
      <c r="ARU122" s="69"/>
      <c r="ARV122" s="69"/>
      <c r="ARW122" s="69"/>
      <c r="ARX122" s="69"/>
      <c r="ARY122" s="69"/>
      <c r="ARZ122" s="69"/>
      <c r="ASA122" s="69"/>
      <c r="ASB122" s="69"/>
      <c r="ASC122" s="69"/>
      <c r="ASD122" s="69"/>
      <c r="ASE122" s="69"/>
      <c r="ASF122" s="69"/>
      <c r="ASG122" s="69"/>
      <c r="ASH122" s="69"/>
      <c r="ASI122" s="69"/>
      <c r="ASJ122" s="69"/>
      <c r="ASK122" s="69"/>
      <c r="ASL122" s="69"/>
      <c r="ASM122" s="69"/>
      <c r="ASN122" s="69"/>
      <c r="ASO122" s="69"/>
      <c r="ASP122" s="69"/>
      <c r="ASQ122" s="69"/>
      <c r="ASR122" s="69"/>
      <c r="ASS122" s="69"/>
      <c r="AST122" s="69"/>
      <c r="ASU122" s="69"/>
      <c r="ASV122" s="69"/>
      <c r="ASW122" s="69"/>
      <c r="ASX122" s="69"/>
      <c r="ASY122" s="69"/>
      <c r="ASZ122" s="69"/>
      <c r="ATA122" s="69"/>
      <c r="ATB122" s="69"/>
      <c r="ATC122" s="69"/>
      <c r="ATD122" s="69"/>
      <c r="ATE122" s="69"/>
      <c r="ATF122" s="69"/>
      <c r="ATG122" s="69"/>
      <c r="ATH122" s="69"/>
      <c r="ATI122" s="69"/>
      <c r="ATJ122" s="69"/>
      <c r="ATK122" s="69"/>
      <c r="ATL122" s="69"/>
      <c r="ATM122" s="69"/>
      <c r="ATN122" s="69"/>
      <c r="ATO122" s="69"/>
      <c r="ATP122" s="69"/>
      <c r="ATQ122" s="69"/>
      <c r="ATR122" s="69"/>
      <c r="ATS122" s="69"/>
      <c r="ATT122" s="69"/>
      <c r="ATU122" s="69"/>
      <c r="ATV122" s="69"/>
      <c r="ATW122" s="69"/>
      <c r="ATX122" s="69"/>
      <c r="ATY122" s="69"/>
      <c r="ATZ122" s="69"/>
      <c r="AUA122" s="69"/>
      <c r="AUB122" s="69"/>
      <c r="AUC122" s="69"/>
      <c r="AUD122" s="69"/>
      <c r="AUE122" s="69"/>
      <c r="AUF122" s="69"/>
      <c r="AUG122" s="69"/>
      <c r="AUH122" s="69"/>
      <c r="AUI122" s="69"/>
      <c r="AUJ122" s="69"/>
      <c r="AUK122" s="69"/>
      <c r="AUL122" s="69"/>
      <c r="AUM122" s="69"/>
      <c r="AUN122" s="69"/>
      <c r="AUO122" s="69"/>
      <c r="AUP122" s="69"/>
      <c r="AUQ122" s="69"/>
      <c r="AUR122" s="69"/>
      <c r="AUS122" s="69"/>
      <c r="AUT122" s="69"/>
      <c r="AUU122" s="69"/>
      <c r="AUV122" s="69"/>
      <c r="AUW122" s="69"/>
      <c r="AUX122" s="69"/>
      <c r="AUY122" s="69"/>
      <c r="AUZ122" s="69"/>
      <c r="AVA122" s="69"/>
      <c r="AVB122" s="69"/>
      <c r="AVC122" s="69"/>
      <c r="AVD122" s="69"/>
      <c r="AVE122" s="69"/>
      <c r="AVF122" s="69"/>
      <c r="AVG122" s="69"/>
      <c r="AVH122" s="69"/>
      <c r="AVI122" s="69"/>
      <c r="AVJ122" s="69"/>
      <c r="AVK122" s="69"/>
      <c r="AVL122" s="69"/>
      <c r="AVM122" s="69"/>
      <c r="AVN122" s="69"/>
      <c r="AVO122" s="69"/>
      <c r="AVP122" s="69"/>
      <c r="AVQ122" s="69"/>
      <c r="AVR122" s="69"/>
      <c r="AVS122" s="69"/>
      <c r="AVT122" s="69"/>
      <c r="AVU122" s="69"/>
      <c r="AVV122" s="69"/>
      <c r="AVW122" s="69"/>
      <c r="AVX122" s="69"/>
      <c r="AVY122" s="69"/>
      <c r="AVZ122" s="69"/>
      <c r="AWA122" s="69"/>
      <c r="AWB122" s="69"/>
      <c r="AWC122" s="69"/>
      <c r="AWD122" s="69"/>
      <c r="AWE122" s="69"/>
      <c r="AWF122" s="69"/>
      <c r="AWG122" s="69"/>
      <c r="AWH122" s="69"/>
      <c r="AWI122" s="69"/>
      <c r="AWJ122" s="69"/>
      <c r="AWK122" s="69"/>
      <c r="AWL122" s="69"/>
      <c r="AWM122" s="69"/>
      <c r="AWN122" s="69"/>
      <c r="AWO122" s="69"/>
      <c r="AWP122" s="69"/>
      <c r="AWQ122" s="69"/>
      <c r="AWR122" s="69"/>
      <c r="AWS122" s="69"/>
      <c r="AWT122" s="69"/>
      <c r="AWU122" s="69"/>
      <c r="AWV122" s="69"/>
      <c r="AWW122" s="69"/>
      <c r="AWX122" s="69"/>
      <c r="AWY122" s="69"/>
      <c r="AWZ122" s="69"/>
      <c r="AXA122" s="69"/>
      <c r="AXB122" s="69"/>
      <c r="AXC122" s="69"/>
      <c r="AXD122" s="69"/>
      <c r="AXE122" s="69"/>
      <c r="AXF122" s="69"/>
      <c r="AXG122" s="69"/>
      <c r="AXH122" s="69"/>
      <c r="AXI122" s="69"/>
      <c r="AXJ122" s="69"/>
      <c r="AXK122" s="69"/>
      <c r="AXL122" s="69"/>
      <c r="AXM122" s="69"/>
      <c r="AXN122" s="69"/>
      <c r="AXO122" s="69"/>
      <c r="AXP122" s="69"/>
      <c r="AXQ122" s="69"/>
      <c r="AXR122" s="69"/>
      <c r="AXS122" s="69"/>
      <c r="AXT122" s="69"/>
      <c r="AXU122" s="69"/>
      <c r="AXV122" s="69"/>
      <c r="AXW122" s="69"/>
      <c r="AXX122" s="69"/>
      <c r="AXY122" s="69"/>
      <c r="AXZ122" s="69"/>
      <c r="AYA122" s="69"/>
      <c r="AYB122" s="69"/>
      <c r="AYC122" s="69"/>
      <c r="AYD122" s="69"/>
      <c r="AYE122" s="69"/>
      <c r="AYF122" s="69"/>
      <c r="AYG122" s="69"/>
      <c r="AYH122" s="69"/>
      <c r="AYI122" s="69"/>
      <c r="AYJ122" s="69"/>
      <c r="AYK122" s="69"/>
      <c r="AYL122" s="69"/>
      <c r="AYM122" s="69"/>
      <c r="AYN122" s="69"/>
      <c r="AYO122" s="69"/>
      <c r="AYP122" s="69"/>
      <c r="AYQ122" s="69"/>
      <c r="AYR122" s="69"/>
      <c r="AYS122" s="69"/>
      <c r="AYT122" s="69"/>
      <c r="AYU122" s="69"/>
      <c r="AYV122" s="69"/>
      <c r="AYW122" s="69"/>
      <c r="AYX122" s="69"/>
      <c r="AYY122" s="69"/>
      <c r="AYZ122" s="69"/>
      <c r="AZA122" s="69"/>
      <c r="AZB122" s="69"/>
      <c r="AZC122" s="69"/>
      <c r="AZD122" s="69"/>
      <c r="AZE122" s="69"/>
      <c r="AZF122" s="69"/>
      <c r="AZG122" s="69"/>
      <c r="AZH122" s="69"/>
      <c r="AZI122" s="69"/>
      <c r="AZJ122" s="69"/>
      <c r="AZK122" s="69"/>
      <c r="AZL122" s="69"/>
      <c r="AZM122" s="69"/>
      <c r="AZN122" s="69"/>
      <c r="AZO122" s="69"/>
      <c r="AZP122" s="69"/>
      <c r="AZQ122" s="69"/>
      <c r="AZR122" s="69"/>
      <c r="AZS122" s="69"/>
      <c r="AZT122" s="69"/>
      <c r="AZU122" s="69"/>
      <c r="AZV122" s="69"/>
      <c r="AZW122" s="69"/>
      <c r="AZX122" s="69"/>
      <c r="AZY122" s="69"/>
      <c r="AZZ122" s="69"/>
      <c r="BAA122" s="69"/>
      <c r="BAB122" s="69"/>
      <c r="BAC122" s="69"/>
      <c r="BAD122" s="69"/>
      <c r="BAE122" s="69"/>
      <c r="BAF122" s="69"/>
      <c r="BAG122" s="69"/>
      <c r="BAH122" s="69"/>
      <c r="BAI122" s="69"/>
      <c r="BAJ122" s="69"/>
      <c r="BAK122" s="69"/>
      <c r="BAL122" s="69"/>
      <c r="BAM122" s="69"/>
      <c r="BAN122" s="69"/>
      <c r="BAO122" s="69"/>
      <c r="BAP122" s="69"/>
      <c r="BAQ122" s="69"/>
      <c r="BAR122" s="69"/>
      <c r="BAS122" s="69"/>
      <c r="BAT122" s="69"/>
      <c r="BAU122" s="69"/>
      <c r="BAV122" s="69"/>
      <c r="BAW122" s="69"/>
      <c r="BAX122" s="69"/>
      <c r="BAY122" s="69"/>
      <c r="BAZ122" s="69"/>
      <c r="BBA122" s="69"/>
      <c r="BBB122" s="69"/>
      <c r="BBC122" s="69"/>
      <c r="BBD122" s="69"/>
      <c r="BBE122" s="69"/>
      <c r="BBF122" s="69"/>
      <c r="BBG122" s="69"/>
      <c r="BBH122" s="69"/>
      <c r="BBI122" s="69"/>
      <c r="BBJ122" s="69"/>
      <c r="BBK122" s="69"/>
      <c r="BBL122" s="69"/>
      <c r="BBM122" s="69"/>
      <c r="BBN122" s="69"/>
      <c r="BBO122" s="69"/>
      <c r="BBP122" s="69"/>
      <c r="BBQ122" s="69"/>
      <c r="BBR122" s="69"/>
      <c r="BBS122" s="69"/>
      <c r="BBT122" s="69"/>
      <c r="BBU122" s="69"/>
      <c r="BBV122" s="69"/>
      <c r="BBW122" s="69"/>
      <c r="BBX122" s="69"/>
      <c r="BBY122" s="69"/>
      <c r="BBZ122" s="69"/>
      <c r="BCA122" s="69"/>
      <c r="BCB122" s="69"/>
      <c r="BCC122" s="69"/>
      <c r="BCD122" s="69"/>
      <c r="BCE122" s="69"/>
      <c r="BCF122" s="69"/>
      <c r="BCG122" s="69"/>
      <c r="BCH122" s="69"/>
      <c r="BCI122" s="69"/>
      <c r="BCJ122" s="69"/>
      <c r="BCK122" s="69"/>
      <c r="BCL122" s="69"/>
      <c r="BCM122" s="69"/>
      <c r="BCN122" s="69"/>
      <c r="BCO122" s="69"/>
      <c r="BCP122" s="69"/>
      <c r="BCQ122" s="69"/>
      <c r="BCR122" s="69"/>
      <c r="BCS122" s="69"/>
      <c r="BCT122" s="69"/>
      <c r="BCU122" s="69"/>
      <c r="BCV122" s="69"/>
      <c r="BCW122" s="69"/>
      <c r="BCX122" s="69"/>
      <c r="BCY122" s="69"/>
      <c r="BCZ122" s="69"/>
      <c r="BDA122" s="69"/>
      <c r="BDB122" s="69"/>
      <c r="BDC122" s="69"/>
      <c r="BDD122" s="69"/>
      <c r="BDE122" s="69"/>
      <c r="BDF122" s="69"/>
      <c r="BDG122" s="69"/>
      <c r="BDH122" s="69"/>
      <c r="BDI122" s="69"/>
      <c r="BDJ122" s="69"/>
      <c r="BDK122" s="69"/>
      <c r="BDL122" s="69"/>
      <c r="BDM122" s="69"/>
      <c r="BDN122" s="69"/>
      <c r="BDO122" s="69"/>
      <c r="BDP122" s="69"/>
      <c r="BDQ122" s="69"/>
      <c r="BDR122" s="69"/>
      <c r="BDS122" s="69"/>
      <c r="BDT122" s="69"/>
      <c r="BDU122" s="69"/>
      <c r="BDV122" s="69"/>
      <c r="BDW122" s="69"/>
      <c r="BDX122" s="69"/>
      <c r="BDY122" s="69"/>
      <c r="BDZ122" s="69"/>
      <c r="BEA122" s="69"/>
      <c r="BEB122" s="69"/>
      <c r="BEC122" s="69"/>
      <c r="BED122" s="69"/>
      <c r="BEE122" s="69"/>
      <c r="BEF122" s="69"/>
      <c r="BEG122" s="69"/>
      <c r="BEH122" s="69"/>
      <c r="BEI122" s="69"/>
      <c r="BEJ122" s="69"/>
      <c r="BEK122" s="69"/>
      <c r="BEL122" s="69"/>
      <c r="BEM122" s="69"/>
      <c r="BEN122" s="69"/>
      <c r="BEO122" s="69"/>
      <c r="BEP122" s="69"/>
      <c r="BEQ122" s="69"/>
      <c r="BER122" s="69"/>
      <c r="BES122" s="69"/>
      <c r="BET122" s="69"/>
      <c r="BEU122" s="69"/>
      <c r="BEV122" s="69"/>
      <c r="BEW122" s="69"/>
      <c r="BEX122" s="69"/>
      <c r="BEY122" s="69"/>
      <c r="BEZ122" s="69"/>
      <c r="BFA122" s="69"/>
      <c r="BFB122" s="69"/>
      <c r="BFC122" s="69"/>
      <c r="BFD122" s="69"/>
      <c r="BFE122" s="69"/>
      <c r="BFF122" s="69"/>
      <c r="BFG122" s="69"/>
      <c r="BFH122" s="69"/>
      <c r="BFI122" s="69"/>
      <c r="BFJ122" s="69"/>
      <c r="BFK122" s="69"/>
      <c r="BFL122" s="69"/>
      <c r="BFM122" s="69"/>
      <c r="BFN122" s="69"/>
      <c r="BFO122" s="69"/>
      <c r="BFP122" s="69"/>
      <c r="BFQ122" s="69"/>
      <c r="BFR122" s="69"/>
      <c r="BFS122" s="69"/>
      <c r="BFT122" s="69"/>
      <c r="BFU122" s="69"/>
      <c r="BFV122" s="69"/>
      <c r="BFW122" s="69"/>
      <c r="BFX122" s="69"/>
      <c r="BFY122" s="69"/>
      <c r="BFZ122" s="69"/>
      <c r="BGA122" s="69"/>
      <c r="BGB122" s="69"/>
      <c r="BGC122" s="69"/>
      <c r="BGD122" s="69"/>
      <c r="BGE122" s="69"/>
      <c r="BGF122" s="69"/>
      <c r="BGG122" s="69"/>
      <c r="BGH122" s="69"/>
      <c r="BGI122" s="69"/>
      <c r="BGJ122" s="69"/>
      <c r="BGK122" s="69"/>
      <c r="BGL122" s="69"/>
      <c r="BGM122" s="69"/>
      <c r="BGN122" s="69"/>
      <c r="BGO122" s="69"/>
      <c r="BGP122" s="69"/>
      <c r="BGQ122" s="69"/>
      <c r="BGR122" s="69"/>
      <c r="BGS122" s="69"/>
      <c r="BGT122" s="69"/>
      <c r="BGU122" s="69"/>
      <c r="BGV122" s="69"/>
      <c r="BGW122" s="69"/>
      <c r="BGX122" s="69"/>
      <c r="BGY122" s="69"/>
      <c r="BGZ122" s="69"/>
      <c r="BHA122" s="69"/>
      <c r="BHB122" s="69"/>
      <c r="BHC122" s="69"/>
      <c r="BHD122" s="69"/>
      <c r="BHE122" s="69"/>
      <c r="BHF122" s="69"/>
      <c r="BHG122" s="69"/>
      <c r="BHH122" s="69"/>
      <c r="BHI122" s="69"/>
      <c r="BHJ122" s="69"/>
      <c r="BHK122" s="69"/>
      <c r="BHL122" s="69"/>
      <c r="BHM122" s="69"/>
      <c r="BHN122" s="69"/>
      <c r="BHO122" s="69"/>
      <c r="BHP122" s="69"/>
      <c r="BHQ122" s="69"/>
      <c r="BHR122" s="69"/>
      <c r="BHS122" s="69"/>
      <c r="BHT122" s="69"/>
      <c r="BHU122" s="69"/>
      <c r="BHV122" s="69"/>
      <c r="BHW122" s="69"/>
      <c r="BHX122" s="69"/>
      <c r="BHY122" s="69"/>
      <c r="BHZ122" s="69"/>
      <c r="BIA122" s="69"/>
      <c r="BIB122" s="69"/>
      <c r="BIC122" s="69"/>
      <c r="BID122" s="69"/>
      <c r="BIE122" s="69"/>
      <c r="BIF122" s="69"/>
      <c r="BIG122" s="69"/>
      <c r="BIH122" s="69"/>
      <c r="BII122" s="69"/>
      <c r="BIJ122" s="69"/>
      <c r="BIK122" s="69"/>
      <c r="BIL122" s="69"/>
      <c r="BIM122" s="69"/>
      <c r="BIN122" s="69"/>
      <c r="BIO122" s="69"/>
      <c r="BIP122" s="69"/>
      <c r="BIQ122" s="69"/>
      <c r="BIR122" s="69"/>
      <c r="BIS122" s="69"/>
      <c r="BIT122" s="69"/>
      <c r="BIU122" s="69"/>
      <c r="BIV122" s="69"/>
      <c r="BIW122" s="69"/>
      <c r="BIX122" s="69"/>
      <c r="BIY122" s="69"/>
      <c r="BIZ122" s="69"/>
      <c r="BJA122" s="69"/>
      <c r="BJB122" s="69"/>
      <c r="BJC122" s="69"/>
      <c r="BJD122" s="69"/>
      <c r="BJE122" s="69"/>
      <c r="BJF122" s="69"/>
      <c r="BJG122" s="69"/>
      <c r="BJH122" s="69"/>
      <c r="BJI122" s="69"/>
      <c r="BJJ122" s="69"/>
      <c r="BJK122" s="69"/>
      <c r="BJL122" s="69"/>
      <c r="BJM122" s="69"/>
      <c r="BJN122" s="69"/>
      <c r="BJO122" s="69"/>
      <c r="BJP122" s="69"/>
      <c r="BJQ122" s="69"/>
      <c r="BJR122" s="69"/>
      <c r="BJS122" s="69"/>
      <c r="BJT122" s="69"/>
      <c r="BJU122" s="69"/>
      <c r="BJV122" s="69"/>
      <c r="BJW122" s="69"/>
      <c r="BJX122" s="69"/>
      <c r="BJY122" s="69"/>
      <c r="BJZ122" s="69"/>
      <c r="BKA122" s="69"/>
      <c r="BKB122" s="69"/>
      <c r="BKC122" s="69"/>
      <c r="BKD122" s="69"/>
      <c r="BKE122" s="69"/>
      <c r="BKF122" s="69"/>
      <c r="BKG122" s="69"/>
      <c r="BKH122" s="69"/>
      <c r="BKI122" s="69"/>
      <c r="BKJ122" s="69"/>
      <c r="BKK122" s="69"/>
      <c r="BKL122" s="69"/>
      <c r="BKM122" s="69"/>
      <c r="BKN122" s="69"/>
      <c r="BKO122" s="69"/>
      <c r="BKP122" s="69"/>
      <c r="BKQ122" s="69"/>
      <c r="BKR122" s="69"/>
      <c r="BKS122" s="69"/>
      <c r="BKT122" s="69"/>
      <c r="BKU122" s="69"/>
      <c r="BKV122" s="69"/>
      <c r="BKW122" s="69"/>
      <c r="BKX122" s="69"/>
      <c r="BKY122" s="69"/>
      <c r="BKZ122" s="69"/>
      <c r="BLA122" s="69"/>
      <c r="BLB122" s="69"/>
      <c r="BLC122" s="69"/>
      <c r="BLD122" s="69"/>
      <c r="BLE122" s="69"/>
      <c r="BLF122" s="69"/>
      <c r="BLG122" s="69"/>
      <c r="BLH122" s="69"/>
      <c r="BLI122" s="69"/>
      <c r="BLJ122" s="69"/>
      <c r="BLK122" s="69"/>
      <c r="BLL122" s="69"/>
      <c r="BLM122" s="69"/>
      <c r="BLN122" s="69"/>
      <c r="BLO122" s="69"/>
      <c r="BLP122" s="69"/>
      <c r="BLQ122" s="69"/>
      <c r="BLR122" s="69"/>
      <c r="BLS122" s="69"/>
      <c r="BLT122" s="69"/>
      <c r="BLU122" s="69"/>
      <c r="BLV122" s="69"/>
      <c r="BLW122" s="69"/>
      <c r="BLX122" s="69"/>
      <c r="BLY122" s="69"/>
      <c r="BLZ122" s="69"/>
      <c r="BMA122" s="69"/>
      <c r="BMB122" s="69"/>
      <c r="BMC122" s="69"/>
      <c r="BMD122" s="69"/>
      <c r="BME122" s="69"/>
      <c r="BMF122" s="69"/>
      <c r="BMG122" s="69"/>
      <c r="BMH122" s="69"/>
      <c r="BMI122" s="69"/>
      <c r="BMJ122" s="69"/>
      <c r="BMK122" s="69"/>
      <c r="BML122" s="69"/>
      <c r="BMM122" s="69"/>
      <c r="BMN122" s="69"/>
      <c r="BMO122" s="69"/>
      <c r="BMP122" s="69"/>
      <c r="BMQ122" s="69"/>
      <c r="BMR122" s="69"/>
      <c r="BMS122" s="69"/>
      <c r="BMT122" s="69"/>
      <c r="BMU122" s="69"/>
      <c r="BMV122" s="69"/>
      <c r="BMW122" s="69"/>
      <c r="BMX122" s="69"/>
      <c r="BMY122" s="69"/>
      <c r="BMZ122" s="69"/>
      <c r="BNA122" s="69"/>
      <c r="BNB122" s="69"/>
      <c r="BNC122" s="69"/>
      <c r="BND122" s="69"/>
      <c r="BNE122" s="69"/>
      <c r="BNF122" s="69"/>
      <c r="BNG122" s="69"/>
      <c r="BNH122" s="69"/>
      <c r="BNI122" s="69"/>
      <c r="BNJ122" s="69"/>
      <c r="BNK122" s="69"/>
      <c r="BNL122" s="69"/>
      <c r="BNM122" s="69"/>
      <c r="BNN122" s="69"/>
      <c r="BNO122" s="69"/>
      <c r="BNP122" s="69"/>
      <c r="BNQ122" s="69"/>
      <c r="BNR122" s="69"/>
      <c r="BNS122" s="69"/>
      <c r="BNT122" s="69"/>
      <c r="BNU122" s="69"/>
      <c r="BNV122" s="69"/>
      <c r="BNW122" s="69"/>
      <c r="BNX122" s="69"/>
      <c r="BNY122" s="69"/>
      <c r="BNZ122" s="69"/>
      <c r="BOA122" s="69"/>
      <c r="BOB122" s="69"/>
      <c r="BOC122" s="69"/>
      <c r="BOD122" s="69"/>
      <c r="BOE122" s="69"/>
      <c r="BOF122" s="69"/>
      <c r="BOG122" s="69"/>
      <c r="BOH122" s="69"/>
      <c r="BOI122" s="69"/>
      <c r="BOJ122" s="69"/>
      <c r="BOK122" s="69"/>
      <c r="BOL122" s="69"/>
      <c r="BOM122" s="69"/>
      <c r="BON122" s="69"/>
      <c r="BOO122" s="69"/>
      <c r="BOP122" s="69"/>
      <c r="BOQ122" s="69"/>
      <c r="BOR122" s="69"/>
      <c r="BOS122" s="69"/>
      <c r="BOT122" s="69"/>
      <c r="BOU122" s="69"/>
      <c r="BOV122" s="69"/>
      <c r="BOW122" s="69"/>
      <c r="BOX122" s="69"/>
      <c r="BOY122" s="69"/>
      <c r="BOZ122" s="69"/>
      <c r="BPA122" s="69"/>
      <c r="BPB122" s="69"/>
      <c r="BPC122" s="69"/>
      <c r="BPD122" s="69"/>
      <c r="BPE122" s="69"/>
      <c r="BPF122" s="69"/>
      <c r="BPG122" s="69"/>
      <c r="BPH122" s="69"/>
      <c r="BPI122" s="69"/>
      <c r="BPJ122" s="69"/>
      <c r="BPK122" s="69"/>
      <c r="BPL122" s="69"/>
      <c r="BPM122" s="69"/>
      <c r="BPN122" s="69"/>
      <c r="BPO122" s="69"/>
      <c r="BPP122" s="69"/>
      <c r="BPQ122" s="69"/>
      <c r="BPR122" s="69"/>
      <c r="BPS122" s="69"/>
      <c r="BPT122" s="69"/>
      <c r="BPU122" s="69"/>
      <c r="BPV122" s="69"/>
      <c r="BPW122" s="69"/>
      <c r="BPX122" s="69"/>
      <c r="BPY122" s="69"/>
      <c r="BPZ122" s="69"/>
      <c r="BQA122" s="69"/>
      <c r="BQB122" s="69"/>
      <c r="BQC122" s="69"/>
      <c r="BQD122" s="69"/>
      <c r="BQE122" s="69"/>
      <c r="BQF122" s="69"/>
      <c r="BQG122" s="69"/>
      <c r="BQH122" s="69"/>
      <c r="BQI122" s="69"/>
      <c r="BQJ122" s="69"/>
      <c r="BQK122" s="69"/>
      <c r="BQL122" s="69"/>
      <c r="BQM122" s="69"/>
      <c r="BQN122" s="69"/>
      <c r="BQO122" s="69"/>
      <c r="BQP122" s="69"/>
      <c r="BQQ122" s="69"/>
      <c r="BQR122" s="69"/>
      <c r="BQS122" s="69"/>
      <c r="BQT122" s="69"/>
      <c r="BQU122" s="69"/>
      <c r="BQV122" s="69"/>
      <c r="BQW122" s="69"/>
      <c r="BQX122" s="69"/>
      <c r="BQY122" s="69"/>
      <c r="BQZ122" s="69"/>
      <c r="BRA122" s="69"/>
      <c r="BRB122" s="69"/>
      <c r="BRC122" s="69"/>
      <c r="BRD122" s="69"/>
      <c r="BRE122" s="69"/>
      <c r="BRF122" s="69"/>
      <c r="BRG122" s="69"/>
      <c r="BRH122" s="69"/>
      <c r="BRI122" s="69"/>
      <c r="BRJ122" s="69"/>
      <c r="BRK122" s="69"/>
      <c r="BRL122" s="69"/>
      <c r="BRM122" s="69"/>
      <c r="BRN122" s="69"/>
      <c r="BRO122" s="69"/>
      <c r="BRP122" s="69"/>
      <c r="BRQ122" s="69"/>
      <c r="BRR122" s="69"/>
      <c r="BRS122" s="69"/>
      <c r="BRT122" s="69"/>
      <c r="BRU122" s="69"/>
      <c r="BRV122" s="69"/>
      <c r="BRW122" s="69"/>
      <c r="BRX122" s="69"/>
      <c r="BRY122" s="69"/>
      <c r="BRZ122" s="69"/>
      <c r="BSA122" s="69"/>
      <c r="BSB122" s="69"/>
      <c r="BSC122" s="69"/>
      <c r="BSD122" s="69"/>
      <c r="BSE122" s="69"/>
      <c r="BSF122" s="69"/>
      <c r="BSG122" s="69"/>
      <c r="BSH122" s="69"/>
      <c r="BSI122" s="69"/>
      <c r="BSJ122" s="69"/>
      <c r="BSK122" s="69"/>
      <c r="BSL122" s="69"/>
      <c r="BSM122" s="69"/>
      <c r="BSN122" s="69"/>
      <c r="BSO122" s="69"/>
      <c r="BSP122" s="69"/>
      <c r="BSQ122" s="69"/>
      <c r="BSR122" s="69"/>
      <c r="BSS122" s="69"/>
      <c r="BST122" s="69"/>
      <c r="BSU122" s="69"/>
      <c r="BSV122" s="69"/>
      <c r="BSW122" s="69"/>
      <c r="BSX122" s="69"/>
      <c r="BSY122" s="69"/>
      <c r="BSZ122" s="69"/>
      <c r="BTA122" s="69"/>
      <c r="BTB122" s="69"/>
      <c r="BTC122" s="69"/>
      <c r="BTD122" s="69"/>
      <c r="BTE122" s="69"/>
      <c r="BTF122" s="69"/>
      <c r="BTG122" s="69"/>
      <c r="BTH122" s="69"/>
      <c r="BTI122" s="69"/>
      <c r="BTJ122" s="69"/>
      <c r="BTK122" s="69"/>
      <c r="BTL122" s="69"/>
      <c r="BTM122" s="69"/>
      <c r="BTN122" s="69"/>
      <c r="BTO122" s="69"/>
      <c r="BTP122" s="69"/>
      <c r="BTQ122" s="69"/>
      <c r="BTR122" s="69"/>
      <c r="BTS122" s="69"/>
      <c r="BTT122" s="69"/>
      <c r="BTU122" s="69"/>
      <c r="BTV122" s="69"/>
      <c r="BTW122" s="69"/>
      <c r="BTX122" s="69"/>
      <c r="BTY122" s="69"/>
      <c r="BTZ122" s="69"/>
      <c r="BUA122" s="69"/>
      <c r="BUB122" s="69"/>
      <c r="BUC122" s="69"/>
      <c r="BUD122" s="69"/>
      <c r="BUE122" s="69"/>
      <c r="BUF122" s="69"/>
      <c r="BUG122" s="69"/>
      <c r="BUH122" s="69"/>
      <c r="BUI122" s="69"/>
      <c r="BUJ122" s="69"/>
      <c r="BUK122" s="69"/>
      <c r="BUL122" s="69"/>
      <c r="BUM122" s="69"/>
      <c r="BUN122" s="69"/>
      <c r="BUO122" s="69"/>
      <c r="BUP122" s="69"/>
      <c r="BUQ122" s="69"/>
      <c r="BUR122" s="69"/>
      <c r="BUS122" s="69"/>
      <c r="BUT122" s="69"/>
      <c r="BUU122" s="69"/>
      <c r="BUV122" s="69"/>
      <c r="BUW122" s="69"/>
      <c r="BUX122" s="69"/>
      <c r="BUY122" s="69"/>
      <c r="BUZ122" s="69"/>
      <c r="BVA122" s="69"/>
      <c r="BVB122" s="69"/>
      <c r="BVC122" s="69"/>
      <c r="BVD122" s="69"/>
      <c r="BVE122" s="69"/>
      <c r="BVF122" s="69"/>
      <c r="BVG122" s="69"/>
      <c r="BVH122" s="69"/>
      <c r="BVI122" s="69"/>
      <c r="BVJ122" s="69"/>
      <c r="BVK122" s="69"/>
      <c r="BVL122" s="69"/>
      <c r="BVM122" s="69"/>
      <c r="BVN122" s="69"/>
      <c r="BVO122" s="69"/>
      <c r="BVP122" s="69"/>
      <c r="BVQ122" s="69"/>
      <c r="BVR122" s="69"/>
      <c r="BVS122" s="69"/>
      <c r="BVT122" s="69"/>
      <c r="BVU122" s="69"/>
      <c r="BVV122" s="69"/>
      <c r="BVW122" s="69"/>
      <c r="BVX122" s="69"/>
      <c r="BVY122" s="69"/>
      <c r="BVZ122" s="69"/>
      <c r="BWA122" s="69"/>
      <c r="BWB122" s="69"/>
      <c r="BWC122" s="69"/>
      <c r="BWD122" s="69"/>
      <c r="BWE122" s="69"/>
      <c r="BWF122" s="69"/>
      <c r="BWG122" s="69"/>
      <c r="BWH122" s="69"/>
      <c r="BWI122" s="69"/>
      <c r="BWJ122" s="69"/>
      <c r="BWK122" s="69"/>
      <c r="BWL122" s="69"/>
      <c r="BWM122" s="69"/>
      <c r="BWN122" s="69"/>
      <c r="BWO122" s="69"/>
      <c r="BWP122" s="69"/>
      <c r="BWQ122" s="69"/>
      <c r="BWR122" s="69"/>
      <c r="BWS122" s="69"/>
      <c r="BWT122" s="69"/>
      <c r="BWU122" s="69"/>
      <c r="BWV122" s="69"/>
      <c r="BWW122" s="69"/>
      <c r="BWX122" s="69"/>
      <c r="BWY122" s="69"/>
      <c r="BWZ122" s="69"/>
      <c r="BXA122" s="69"/>
      <c r="BXB122" s="69"/>
      <c r="BXC122" s="69"/>
      <c r="BXD122" s="69"/>
      <c r="BXE122" s="69"/>
      <c r="BXF122" s="69"/>
      <c r="BXG122" s="69"/>
      <c r="BXH122" s="69"/>
      <c r="BXI122" s="69"/>
      <c r="BXJ122" s="69"/>
      <c r="BXK122" s="69"/>
      <c r="BXL122" s="69"/>
      <c r="BXM122" s="69"/>
      <c r="BXN122" s="69"/>
      <c r="BXO122" s="69"/>
      <c r="BXP122" s="69"/>
      <c r="BXQ122" s="69"/>
      <c r="BXR122" s="69"/>
      <c r="BXS122" s="69"/>
      <c r="BXT122" s="69"/>
      <c r="BXU122" s="69"/>
      <c r="BXV122" s="69"/>
      <c r="BXW122" s="69"/>
      <c r="BXX122" s="69"/>
      <c r="BXY122" s="69"/>
      <c r="BXZ122" s="69"/>
      <c r="BYA122" s="69"/>
      <c r="BYB122" s="69"/>
      <c r="BYC122" s="69"/>
      <c r="BYD122" s="69"/>
      <c r="BYE122" s="69"/>
      <c r="BYF122" s="69"/>
      <c r="BYG122" s="69"/>
      <c r="BYH122" s="69"/>
      <c r="BYI122" s="69"/>
      <c r="BYJ122" s="69"/>
      <c r="BYK122" s="69"/>
      <c r="BYL122" s="69"/>
      <c r="BYM122" s="69"/>
      <c r="BYN122" s="69"/>
      <c r="BYO122" s="69"/>
      <c r="BYP122" s="69"/>
      <c r="BYQ122" s="69"/>
      <c r="BYR122" s="69"/>
      <c r="BYS122" s="69"/>
      <c r="BYT122" s="69"/>
      <c r="BYU122" s="69"/>
      <c r="BYV122" s="69"/>
      <c r="BYW122" s="69"/>
      <c r="BYX122" s="69"/>
      <c r="BYY122" s="69"/>
      <c r="BYZ122" s="69"/>
      <c r="BZA122" s="69"/>
      <c r="BZB122" s="69"/>
      <c r="BZC122" s="69"/>
      <c r="BZD122" s="69"/>
      <c r="BZE122" s="69"/>
      <c r="BZF122" s="69"/>
      <c r="BZG122" s="69"/>
      <c r="BZH122" s="69"/>
      <c r="BZI122" s="69"/>
      <c r="BZJ122" s="69"/>
      <c r="BZK122" s="69"/>
      <c r="BZL122" s="69"/>
      <c r="BZM122" s="69"/>
      <c r="BZN122" s="69"/>
      <c r="BZO122" s="69"/>
      <c r="BZP122" s="69"/>
      <c r="BZQ122" s="69"/>
      <c r="BZR122" s="69"/>
      <c r="BZS122" s="69"/>
      <c r="BZT122" s="69"/>
      <c r="BZU122" s="69"/>
      <c r="BZV122" s="69"/>
      <c r="BZW122" s="69"/>
      <c r="BZX122" s="69"/>
      <c r="BZY122" s="69"/>
      <c r="BZZ122" s="69"/>
      <c r="CAA122" s="69"/>
      <c r="CAB122" s="69"/>
      <c r="CAC122" s="69"/>
      <c r="CAD122" s="69"/>
      <c r="CAE122" s="69"/>
      <c r="CAF122" s="69"/>
      <c r="CAG122" s="69"/>
      <c r="CAH122" s="69"/>
      <c r="CAI122" s="69"/>
      <c r="CAJ122" s="69"/>
      <c r="CAK122" s="69"/>
      <c r="CAL122" s="69"/>
      <c r="CAM122" s="69"/>
      <c r="CAN122" s="69"/>
      <c r="CAO122" s="69"/>
      <c r="CAP122" s="69"/>
      <c r="CAQ122" s="69"/>
      <c r="CAR122" s="69"/>
      <c r="CAS122" s="69"/>
      <c r="CAT122" s="69"/>
      <c r="CAU122" s="69"/>
      <c r="CAV122" s="69"/>
      <c r="CAW122" s="69"/>
      <c r="CAX122" s="69"/>
      <c r="CAY122" s="69"/>
      <c r="CAZ122" s="69"/>
      <c r="CBA122" s="69"/>
      <c r="CBB122" s="69"/>
      <c r="CBC122" s="69"/>
      <c r="CBD122" s="69"/>
      <c r="CBE122" s="69"/>
      <c r="CBF122" s="69"/>
      <c r="CBG122" s="69"/>
      <c r="CBH122" s="69"/>
      <c r="CBI122" s="69"/>
      <c r="CBJ122" s="69"/>
      <c r="CBK122" s="69"/>
      <c r="CBL122" s="69"/>
      <c r="CBM122" s="69"/>
      <c r="CBN122" s="69"/>
      <c r="CBO122" s="69"/>
      <c r="CBP122" s="69"/>
      <c r="CBQ122" s="69"/>
      <c r="CBR122" s="69"/>
      <c r="CBS122" s="69"/>
      <c r="CBT122" s="69"/>
      <c r="CBU122" s="69"/>
      <c r="CBV122" s="69"/>
      <c r="CBW122" s="69"/>
      <c r="CBX122" s="69"/>
      <c r="CBY122" s="69"/>
      <c r="CBZ122" s="69"/>
      <c r="CCA122" s="69"/>
      <c r="CCB122" s="69"/>
      <c r="CCC122" s="69"/>
      <c r="CCD122" s="69"/>
      <c r="CCE122" s="69"/>
      <c r="CCF122" s="69"/>
      <c r="CCG122" s="69"/>
      <c r="CCH122" s="69"/>
      <c r="CCI122" s="69"/>
      <c r="CCJ122" s="69"/>
      <c r="CCK122" s="69"/>
      <c r="CCL122" s="69"/>
      <c r="CCM122" s="69"/>
      <c r="CCN122" s="69"/>
      <c r="CCO122" s="69"/>
      <c r="CCP122" s="69"/>
      <c r="CCQ122" s="69"/>
      <c r="CCR122" s="69"/>
      <c r="CCS122" s="69"/>
      <c r="CCT122" s="69"/>
      <c r="CCU122" s="69"/>
      <c r="CCV122" s="69"/>
      <c r="CCW122" s="69"/>
      <c r="CCX122" s="69"/>
      <c r="CCY122" s="69"/>
      <c r="CCZ122" s="69"/>
      <c r="CDA122" s="69"/>
      <c r="CDB122" s="69"/>
      <c r="CDC122" s="69"/>
      <c r="CDD122" s="69"/>
      <c r="CDE122" s="69"/>
      <c r="CDF122" s="69"/>
      <c r="CDG122" s="69"/>
      <c r="CDH122" s="69"/>
      <c r="CDI122" s="69"/>
      <c r="CDJ122" s="69"/>
      <c r="CDK122" s="69"/>
      <c r="CDL122" s="69"/>
      <c r="CDM122" s="69"/>
      <c r="CDN122" s="69"/>
      <c r="CDO122" s="69"/>
      <c r="CDP122" s="69"/>
      <c r="CDQ122" s="69"/>
      <c r="CDR122" s="69"/>
      <c r="CDS122" s="69"/>
      <c r="CDT122" s="69"/>
      <c r="CDU122" s="69"/>
      <c r="CDV122" s="69"/>
      <c r="CDW122" s="69"/>
      <c r="CDX122" s="69"/>
      <c r="CDY122" s="69"/>
      <c r="CDZ122" s="69"/>
      <c r="CEA122" s="69"/>
      <c r="CEB122" s="69"/>
      <c r="CEC122" s="69"/>
      <c r="CED122" s="69"/>
      <c r="CEE122" s="69"/>
      <c r="CEF122" s="69"/>
      <c r="CEG122" s="69"/>
      <c r="CEH122" s="69"/>
      <c r="CEI122" s="69"/>
      <c r="CEJ122" s="69"/>
      <c r="CEK122" s="69"/>
      <c r="CEL122" s="69"/>
      <c r="CEM122" s="69"/>
      <c r="CEN122" s="69"/>
      <c r="CEO122" s="69"/>
      <c r="CEP122" s="69"/>
      <c r="CEQ122" s="69"/>
      <c r="CER122" s="69"/>
      <c r="CES122" s="69"/>
      <c r="CET122" s="69"/>
      <c r="CEU122" s="69"/>
      <c r="CEV122" s="69"/>
      <c r="CEW122" s="69"/>
      <c r="CEX122" s="69"/>
      <c r="CEY122" s="69"/>
      <c r="CEZ122" s="69"/>
      <c r="CFA122" s="69"/>
      <c r="CFB122" s="69"/>
      <c r="CFC122" s="69"/>
      <c r="CFD122" s="69"/>
      <c r="CFE122" s="69"/>
      <c r="CFF122" s="69"/>
      <c r="CFG122" s="69"/>
      <c r="CFH122" s="69"/>
      <c r="CFI122" s="69"/>
      <c r="CFJ122" s="69"/>
      <c r="CFK122" s="69"/>
      <c r="CFL122" s="69"/>
      <c r="CFM122" s="69"/>
      <c r="CFN122" s="69"/>
      <c r="CFO122" s="69"/>
      <c r="CFP122" s="69"/>
      <c r="CFQ122" s="69"/>
      <c r="CFR122" s="69"/>
      <c r="CFS122" s="69"/>
      <c r="CFT122" s="69"/>
      <c r="CFU122" s="69"/>
      <c r="CFV122" s="69"/>
      <c r="CFW122" s="69"/>
      <c r="CFX122" s="69"/>
      <c r="CFY122" s="69"/>
      <c r="CFZ122" s="69"/>
      <c r="CGA122" s="69"/>
      <c r="CGB122" s="69"/>
      <c r="CGC122" s="69"/>
      <c r="CGD122" s="69"/>
      <c r="CGE122" s="69"/>
      <c r="CGF122" s="69"/>
      <c r="CGG122" s="69"/>
      <c r="CGH122" s="69"/>
      <c r="CGI122" s="69"/>
      <c r="CGJ122" s="69"/>
      <c r="CGK122" s="69"/>
      <c r="CGL122" s="69"/>
      <c r="CGM122" s="69"/>
      <c r="CGN122" s="69"/>
      <c r="CGO122" s="69"/>
      <c r="CGP122" s="69"/>
      <c r="CGQ122" s="69"/>
      <c r="CGR122" s="69"/>
      <c r="CGS122" s="69"/>
      <c r="CGT122" s="69"/>
      <c r="CGU122" s="69"/>
      <c r="CGV122" s="69"/>
      <c r="CGW122" s="69"/>
      <c r="CGX122" s="69"/>
      <c r="CGY122" s="69"/>
      <c r="CGZ122" s="69"/>
      <c r="CHA122" s="69"/>
      <c r="CHB122" s="69"/>
      <c r="CHC122" s="69"/>
      <c r="CHD122" s="69"/>
      <c r="CHE122" s="69"/>
      <c r="CHF122" s="69"/>
      <c r="CHG122" s="69"/>
      <c r="CHH122" s="69"/>
      <c r="CHI122" s="69"/>
      <c r="CHJ122" s="69"/>
      <c r="CHK122" s="69"/>
      <c r="CHL122" s="69"/>
      <c r="CHM122" s="69"/>
      <c r="CHN122" s="69"/>
      <c r="CHO122" s="69"/>
      <c r="CHP122" s="69"/>
      <c r="CHQ122" s="69"/>
      <c r="CHR122" s="69"/>
      <c r="CHS122" s="69"/>
      <c r="CHT122" s="69"/>
      <c r="CHU122" s="69"/>
      <c r="CHV122" s="69"/>
      <c r="CHW122" s="69"/>
      <c r="CHX122" s="69"/>
      <c r="CHY122" s="69"/>
      <c r="CHZ122" s="69"/>
      <c r="CIA122" s="69"/>
      <c r="CIB122" s="69"/>
      <c r="CIC122" s="69"/>
      <c r="CID122" s="69"/>
      <c r="CIE122" s="69"/>
      <c r="CIF122" s="69"/>
      <c r="CIG122" s="69"/>
      <c r="CIH122" s="69"/>
      <c r="CII122" s="69"/>
      <c r="CIJ122" s="69"/>
      <c r="CIK122" s="69"/>
      <c r="CIL122" s="69"/>
      <c r="CIM122" s="69"/>
      <c r="CIN122" s="69"/>
      <c r="CIO122" s="69"/>
      <c r="CIP122" s="69"/>
      <c r="CIQ122" s="69"/>
      <c r="CIR122" s="69"/>
      <c r="CIS122" s="69"/>
      <c r="CIT122" s="69"/>
      <c r="CIU122" s="69"/>
      <c r="CIV122" s="69"/>
      <c r="CIW122" s="69"/>
      <c r="CIX122" s="69"/>
      <c r="CIY122" s="69"/>
      <c r="CIZ122" s="69"/>
      <c r="CJA122" s="69"/>
      <c r="CJB122" s="69"/>
      <c r="CJC122" s="69"/>
      <c r="CJD122" s="69"/>
      <c r="CJE122" s="69"/>
      <c r="CJF122" s="69"/>
      <c r="CJG122" s="69"/>
      <c r="CJH122" s="69"/>
      <c r="CJI122" s="69"/>
      <c r="CJJ122" s="69"/>
      <c r="CJK122" s="69"/>
      <c r="CJL122" s="69"/>
      <c r="CJM122" s="69"/>
      <c r="CJN122" s="69"/>
      <c r="CJO122" s="69"/>
      <c r="CJP122" s="69"/>
      <c r="CJQ122" s="69"/>
      <c r="CJR122" s="69"/>
      <c r="CJS122" s="69"/>
      <c r="CJT122" s="69"/>
      <c r="CJU122" s="69"/>
      <c r="CJV122" s="69"/>
      <c r="CJW122" s="69"/>
      <c r="CJX122" s="69"/>
      <c r="CJY122" s="69"/>
      <c r="CJZ122" s="69"/>
      <c r="CKA122" s="69"/>
      <c r="CKB122" s="69"/>
      <c r="CKC122" s="69"/>
      <c r="CKD122" s="69"/>
      <c r="CKE122" s="69"/>
      <c r="CKF122" s="69"/>
      <c r="CKG122" s="69"/>
      <c r="CKH122" s="69"/>
      <c r="CKI122" s="69"/>
      <c r="CKJ122" s="69"/>
      <c r="CKK122" s="69"/>
      <c r="CKL122" s="69"/>
      <c r="CKM122" s="69"/>
      <c r="CKN122" s="69"/>
      <c r="CKO122" s="69"/>
      <c r="CKP122" s="69"/>
      <c r="CKQ122" s="69"/>
      <c r="CKR122" s="69"/>
      <c r="CKS122" s="69"/>
      <c r="CKT122" s="69"/>
      <c r="CKU122" s="69"/>
      <c r="CKV122" s="69"/>
      <c r="CKW122" s="69"/>
      <c r="CKX122" s="69"/>
      <c r="CKY122" s="69"/>
      <c r="CKZ122" s="69"/>
      <c r="CLA122" s="69"/>
      <c r="CLB122" s="69"/>
      <c r="CLC122" s="69"/>
      <c r="CLD122" s="69"/>
      <c r="CLE122" s="69"/>
      <c r="CLF122" s="69"/>
      <c r="CLG122" s="69"/>
      <c r="CLH122" s="69"/>
      <c r="CLI122" s="69"/>
      <c r="CLJ122" s="69"/>
      <c r="CLK122" s="69"/>
      <c r="CLL122" s="69"/>
      <c r="CLM122" s="69"/>
      <c r="CLN122" s="69"/>
      <c r="CLO122" s="69"/>
      <c r="CLP122" s="69"/>
      <c r="CLQ122" s="69"/>
      <c r="CLR122" s="69"/>
      <c r="CLS122" s="69"/>
      <c r="CLT122" s="69"/>
      <c r="CLU122" s="69"/>
      <c r="CLV122" s="69"/>
      <c r="CLW122" s="69"/>
      <c r="CLX122" s="69"/>
      <c r="CLY122" s="69"/>
      <c r="CLZ122" s="69"/>
      <c r="CMA122" s="69"/>
      <c r="CMB122" s="69"/>
      <c r="CMC122" s="69"/>
      <c r="CMD122" s="69"/>
      <c r="CME122" s="69"/>
      <c r="CMF122" s="69"/>
      <c r="CMG122" s="69"/>
      <c r="CMH122" s="69"/>
      <c r="CMI122" s="69"/>
      <c r="CMJ122" s="69"/>
      <c r="CMK122" s="69"/>
      <c r="CML122" s="69"/>
      <c r="CMM122" s="69"/>
      <c r="CMN122" s="69"/>
      <c r="CMO122" s="69"/>
      <c r="CMP122" s="69"/>
      <c r="CMQ122" s="69"/>
      <c r="CMR122" s="69"/>
      <c r="CMS122" s="69"/>
      <c r="CMT122" s="69"/>
      <c r="CMU122" s="69"/>
      <c r="CMV122" s="69"/>
      <c r="CMW122" s="69"/>
      <c r="CMX122" s="69"/>
      <c r="CMY122" s="69"/>
      <c r="CMZ122" s="69"/>
      <c r="CNA122" s="69"/>
      <c r="CNB122" s="69"/>
      <c r="CNC122" s="69"/>
      <c r="CND122" s="69"/>
      <c r="CNE122" s="69"/>
      <c r="CNF122" s="69"/>
      <c r="CNG122" s="69"/>
      <c r="CNH122" s="69"/>
      <c r="CNI122" s="69"/>
      <c r="CNJ122" s="69"/>
      <c r="CNK122" s="69"/>
      <c r="CNL122" s="69"/>
      <c r="CNM122" s="69"/>
      <c r="CNN122" s="69"/>
      <c r="CNO122" s="69"/>
      <c r="CNP122" s="69"/>
      <c r="CNQ122" s="69"/>
      <c r="CNR122" s="69"/>
      <c r="CNS122" s="69"/>
      <c r="CNT122" s="69"/>
      <c r="CNU122" s="69"/>
      <c r="CNV122" s="69"/>
      <c r="CNW122" s="69"/>
      <c r="CNX122" s="69"/>
      <c r="CNY122" s="69"/>
      <c r="CNZ122" s="69"/>
      <c r="COA122" s="69"/>
      <c r="COB122" s="69"/>
      <c r="COC122" s="69"/>
      <c r="COD122" s="69"/>
      <c r="COE122" s="69"/>
      <c r="COF122" s="69"/>
      <c r="COG122" s="69"/>
      <c r="COH122" s="69"/>
      <c r="COI122" s="69"/>
      <c r="COJ122" s="69"/>
      <c r="COK122" s="69"/>
      <c r="COL122" s="69"/>
      <c r="COM122" s="69"/>
      <c r="CON122" s="69"/>
      <c r="COO122" s="69"/>
      <c r="COP122" s="69"/>
      <c r="COQ122" s="69"/>
      <c r="COR122" s="69"/>
      <c r="COS122" s="69"/>
      <c r="COT122" s="69"/>
      <c r="COU122" s="69"/>
      <c r="COV122" s="69"/>
      <c r="COW122" s="69"/>
      <c r="COX122" s="69"/>
      <c r="COY122" s="69"/>
      <c r="COZ122" s="69"/>
      <c r="CPA122" s="69"/>
      <c r="CPB122" s="69"/>
      <c r="CPC122" s="69"/>
      <c r="CPD122" s="69"/>
      <c r="CPE122" s="69"/>
      <c r="CPF122" s="69"/>
      <c r="CPG122" s="69"/>
      <c r="CPH122" s="69"/>
      <c r="CPI122" s="69"/>
      <c r="CPJ122" s="69"/>
      <c r="CPK122" s="69"/>
      <c r="CPL122" s="69"/>
      <c r="CPM122" s="69"/>
      <c r="CPN122" s="69"/>
      <c r="CPO122" s="69"/>
      <c r="CPP122" s="69"/>
      <c r="CPQ122" s="69"/>
      <c r="CPR122" s="69"/>
      <c r="CPS122" s="69"/>
      <c r="CPT122" s="69"/>
      <c r="CPU122" s="69"/>
      <c r="CPV122" s="69"/>
      <c r="CPW122" s="69"/>
      <c r="CPX122" s="69"/>
      <c r="CPY122" s="69"/>
      <c r="CPZ122" s="69"/>
      <c r="CQA122" s="69"/>
      <c r="CQB122" s="69"/>
      <c r="CQC122" s="69"/>
      <c r="CQD122" s="69"/>
      <c r="CQE122" s="69"/>
      <c r="CQF122" s="69"/>
      <c r="CQG122" s="69"/>
      <c r="CQH122" s="69"/>
      <c r="CQI122" s="69"/>
      <c r="CQJ122" s="69"/>
      <c r="CQK122" s="69"/>
      <c r="CQL122" s="69"/>
      <c r="CQM122" s="69"/>
      <c r="CQN122" s="69"/>
      <c r="CQO122" s="69"/>
      <c r="CQP122" s="69"/>
      <c r="CQQ122" s="69"/>
      <c r="CQR122" s="69"/>
      <c r="CQS122" s="69"/>
      <c r="CQT122" s="69"/>
      <c r="CQU122" s="69"/>
      <c r="CQV122" s="69"/>
      <c r="CQW122" s="69"/>
      <c r="CQX122" s="69"/>
      <c r="CQY122" s="69"/>
      <c r="CQZ122" s="69"/>
      <c r="CRA122" s="69"/>
      <c r="CRB122" s="69"/>
      <c r="CRC122" s="69"/>
      <c r="CRD122" s="69"/>
      <c r="CRE122" s="69"/>
      <c r="CRF122" s="69"/>
      <c r="CRG122" s="69"/>
      <c r="CRH122" s="69"/>
      <c r="CRI122" s="69"/>
      <c r="CRJ122" s="69"/>
      <c r="CRK122" s="69"/>
      <c r="CRL122" s="69"/>
      <c r="CRM122" s="69"/>
      <c r="CRN122" s="69"/>
      <c r="CRO122" s="69"/>
      <c r="CRP122" s="69"/>
      <c r="CRQ122" s="69"/>
      <c r="CRR122" s="69"/>
      <c r="CRS122" s="69"/>
      <c r="CRT122" s="69"/>
      <c r="CRU122" s="69"/>
      <c r="CRV122" s="69"/>
      <c r="CRW122" s="69"/>
      <c r="CRX122" s="69"/>
      <c r="CRY122" s="69"/>
      <c r="CRZ122" s="69"/>
      <c r="CSA122" s="69"/>
      <c r="CSB122" s="69"/>
      <c r="CSC122" s="69"/>
      <c r="CSD122" s="69"/>
      <c r="CSE122" s="69"/>
      <c r="CSF122" s="69"/>
      <c r="CSG122" s="69"/>
      <c r="CSH122" s="69"/>
      <c r="CSI122" s="69"/>
      <c r="CSJ122" s="69"/>
      <c r="CSK122" s="69"/>
      <c r="CSL122" s="69"/>
      <c r="CSM122" s="69"/>
      <c r="CSN122" s="69"/>
      <c r="CSO122" s="69"/>
      <c r="CSP122" s="69"/>
      <c r="CSQ122" s="69"/>
      <c r="CSR122" s="69"/>
      <c r="CSS122" s="69"/>
      <c r="CST122" s="69"/>
      <c r="CSU122" s="69"/>
      <c r="CSV122" s="69"/>
      <c r="CSW122" s="69"/>
      <c r="CSX122" s="69"/>
      <c r="CSY122" s="69"/>
      <c r="CSZ122" s="69"/>
      <c r="CTA122" s="69"/>
      <c r="CTB122" s="69"/>
      <c r="CTC122" s="69"/>
      <c r="CTD122" s="69"/>
      <c r="CTE122" s="69"/>
      <c r="CTF122" s="69"/>
      <c r="CTG122" s="69"/>
      <c r="CTH122" s="69"/>
      <c r="CTI122" s="69"/>
      <c r="CTJ122" s="69"/>
      <c r="CTK122" s="69"/>
      <c r="CTL122" s="69"/>
      <c r="CTM122" s="69"/>
      <c r="CTN122" s="69"/>
      <c r="CTO122" s="69"/>
      <c r="CTP122" s="69"/>
      <c r="CTQ122" s="69"/>
      <c r="CTR122" s="69"/>
      <c r="CTS122" s="69"/>
      <c r="CTT122" s="69"/>
      <c r="CTU122" s="69"/>
      <c r="CTV122" s="69"/>
      <c r="CTW122" s="69"/>
      <c r="CTX122" s="69"/>
      <c r="CTY122" s="69"/>
      <c r="CTZ122" s="69"/>
      <c r="CUA122" s="69"/>
      <c r="CUB122" s="69"/>
      <c r="CUC122" s="69"/>
      <c r="CUD122" s="69"/>
      <c r="CUE122" s="69"/>
      <c r="CUF122" s="69"/>
      <c r="CUG122" s="69"/>
      <c r="CUH122" s="69"/>
      <c r="CUI122" s="69"/>
      <c r="CUJ122" s="69"/>
      <c r="CUK122" s="69"/>
      <c r="CUL122" s="69"/>
      <c r="CUM122" s="69"/>
      <c r="CUN122" s="69"/>
      <c r="CUO122" s="69"/>
      <c r="CUP122" s="69"/>
      <c r="CUQ122" s="69"/>
      <c r="CUR122" s="69"/>
      <c r="CUS122" s="69"/>
      <c r="CUT122" s="69"/>
      <c r="CUU122" s="69"/>
      <c r="CUV122" s="69"/>
      <c r="CUW122" s="69"/>
      <c r="CUX122" s="69"/>
      <c r="CUY122" s="69"/>
      <c r="CUZ122" s="69"/>
      <c r="CVA122" s="69"/>
      <c r="CVB122" s="69"/>
      <c r="CVC122" s="69"/>
      <c r="CVD122" s="69"/>
      <c r="CVE122" s="69"/>
      <c r="CVF122" s="69"/>
      <c r="CVG122" s="69"/>
      <c r="CVH122" s="69"/>
      <c r="CVI122" s="69"/>
      <c r="CVJ122" s="69"/>
      <c r="CVK122" s="69"/>
      <c r="CVL122" s="69"/>
      <c r="CVM122" s="69"/>
      <c r="CVN122" s="69"/>
      <c r="CVO122" s="69"/>
      <c r="CVP122" s="69"/>
      <c r="CVQ122" s="69"/>
      <c r="CVR122" s="69"/>
      <c r="CVS122" s="69"/>
      <c r="CVT122" s="69"/>
      <c r="CVU122" s="69"/>
      <c r="CVV122" s="69"/>
      <c r="CVW122" s="69"/>
      <c r="CVX122" s="69"/>
      <c r="CVY122" s="69"/>
      <c r="CVZ122" s="69"/>
      <c r="CWA122" s="69"/>
      <c r="CWB122" s="69"/>
      <c r="CWC122" s="69"/>
      <c r="CWD122" s="69"/>
      <c r="CWE122" s="69"/>
      <c r="CWF122" s="69"/>
      <c r="CWG122" s="69"/>
      <c r="CWH122" s="69"/>
      <c r="CWI122" s="69"/>
      <c r="CWJ122" s="69"/>
      <c r="CWK122" s="69"/>
      <c r="CWL122" s="69"/>
      <c r="CWM122" s="69"/>
      <c r="CWN122" s="69"/>
      <c r="CWO122" s="69"/>
      <c r="CWP122" s="69"/>
      <c r="CWQ122" s="69"/>
      <c r="CWR122" s="69"/>
      <c r="CWS122" s="69"/>
      <c r="CWT122" s="69"/>
      <c r="CWU122" s="69"/>
      <c r="CWV122" s="69"/>
      <c r="CWW122" s="69"/>
      <c r="CWX122" s="69"/>
      <c r="CWY122" s="69"/>
      <c r="CWZ122" s="69"/>
      <c r="CXA122" s="69"/>
      <c r="CXB122" s="69"/>
      <c r="CXC122" s="69"/>
      <c r="CXD122" s="69"/>
      <c r="CXE122" s="69"/>
      <c r="CXF122" s="69"/>
      <c r="CXG122" s="69"/>
      <c r="CXH122" s="69"/>
      <c r="CXI122" s="69"/>
      <c r="CXJ122" s="69"/>
      <c r="CXK122" s="69"/>
      <c r="CXL122" s="69"/>
      <c r="CXM122" s="69"/>
      <c r="CXN122" s="69"/>
      <c r="CXO122" s="69"/>
      <c r="CXP122" s="69"/>
      <c r="CXQ122" s="69"/>
      <c r="CXR122" s="69"/>
      <c r="CXS122" s="69"/>
      <c r="CXT122" s="69"/>
      <c r="CXU122" s="69"/>
      <c r="CXV122" s="69"/>
      <c r="CXW122" s="69"/>
      <c r="CXX122" s="69"/>
      <c r="CXY122" s="69"/>
      <c r="CXZ122" s="69"/>
      <c r="CYA122" s="69"/>
      <c r="CYB122" s="69"/>
      <c r="CYC122" s="69"/>
      <c r="CYD122" s="69"/>
      <c r="CYE122" s="69"/>
      <c r="CYF122" s="69"/>
      <c r="CYG122" s="69"/>
      <c r="CYH122" s="69"/>
      <c r="CYI122" s="69"/>
      <c r="CYJ122" s="69"/>
      <c r="CYK122" s="69"/>
      <c r="CYL122" s="69"/>
      <c r="CYM122" s="69"/>
      <c r="CYN122" s="69"/>
      <c r="CYO122" s="69"/>
      <c r="CYP122" s="69"/>
      <c r="CYQ122" s="69"/>
      <c r="CYR122" s="69"/>
      <c r="CYS122" s="69"/>
      <c r="CYT122" s="69"/>
      <c r="CYU122" s="69"/>
      <c r="CYV122" s="69"/>
      <c r="CYW122" s="69"/>
      <c r="CYX122" s="69"/>
      <c r="CYY122" s="69"/>
      <c r="CYZ122" s="69"/>
      <c r="CZA122" s="69"/>
      <c r="CZB122" s="69"/>
      <c r="CZC122" s="69"/>
      <c r="CZD122" s="69"/>
      <c r="CZE122" s="69"/>
      <c r="CZF122" s="69"/>
      <c r="CZG122" s="69"/>
      <c r="CZH122" s="69"/>
      <c r="CZI122" s="69"/>
      <c r="CZJ122" s="69"/>
      <c r="CZK122" s="69"/>
      <c r="CZL122" s="69"/>
      <c r="CZM122" s="69"/>
      <c r="CZN122" s="69"/>
      <c r="CZO122" s="69"/>
      <c r="CZP122" s="69"/>
      <c r="CZQ122" s="69"/>
      <c r="CZR122" s="69"/>
      <c r="CZS122" s="69"/>
      <c r="CZT122" s="69"/>
      <c r="CZU122" s="69"/>
      <c r="CZV122" s="69"/>
      <c r="CZW122" s="69"/>
      <c r="CZX122" s="69"/>
      <c r="CZY122" s="69"/>
      <c r="CZZ122" s="69"/>
      <c r="DAA122" s="69"/>
      <c r="DAB122" s="69"/>
      <c r="DAC122" s="69"/>
      <c r="DAD122" s="69"/>
      <c r="DAE122" s="69"/>
      <c r="DAF122" s="69"/>
      <c r="DAG122" s="69"/>
      <c r="DAH122" s="69"/>
      <c r="DAI122" s="69"/>
      <c r="DAJ122" s="69"/>
      <c r="DAK122" s="69"/>
      <c r="DAL122" s="69"/>
      <c r="DAM122" s="69"/>
      <c r="DAN122" s="69"/>
      <c r="DAO122" s="69"/>
      <c r="DAP122" s="69"/>
      <c r="DAQ122" s="69"/>
      <c r="DAR122" s="69"/>
      <c r="DAS122" s="69"/>
      <c r="DAT122" s="69"/>
      <c r="DAU122" s="69"/>
      <c r="DAV122" s="69"/>
      <c r="DAW122" s="69"/>
      <c r="DAX122" s="69"/>
      <c r="DAY122" s="69"/>
      <c r="DAZ122" s="69"/>
      <c r="DBA122" s="69"/>
      <c r="DBB122" s="69"/>
      <c r="DBC122" s="69"/>
      <c r="DBD122" s="69"/>
      <c r="DBE122" s="69"/>
      <c r="DBF122" s="69"/>
      <c r="DBG122" s="69"/>
      <c r="DBH122" s="69"/>
      <c r="DBI122" s="69"/>
      <c r="DBJ122" s="69"/>
      <c r="DBK122" s="69"/>
      <c r="DBL122" s="69"/>
      <c r="DBM122" s="69"/>
      <c r="DBN122" s="69"/>
      <c r="DBO122" s="69"/>
      <c r="DBP122" s="69"/>
      <c r="DBQ122" s="69"/>
      <c r="DBR122" s="69"/>
      <c r="DBS122" s="69"/>
      <c r="DBT122" s="69"/>
      <c r="DBU122" s="69"/>
      <c r="DBV122" s="69"/>
      <c r="DBW122" s="69"/>
      <c r="DBX122" s="69"/>
      <c r="DBY122" s="69"/>
      <c r="DBZ122" s="69"/>
      <c r="DCA122" s="69"/>
      <c r="DCB122" s="69"/>
      <c r="DCC122" s="69"/>
      <c r="DCD122" s="69"/>
      <c r="DCE122" s="69"/>
      <c r="DCF122" s="69"/>
      <c r="DCG122" s="69"/>
      <c r="DCH122" s="69"/>
      <c r="DCI122" s="69"/>
      <c r="DCJ122" s="69"/>
      <c r="DCK122" s="69"/>
      <c r="DCL122" s="69"/>
      <c r="DCM122" s="69"/>
      <c r="DCN122" s="69"/>
      <c r="DCO122" s="69"/>
      <c r="DCP122" s="69"/>
      <c r="DCQ122" s="69"/>
      <c r="DCR122" s="69"/>
      <c r="DCS122" s="69"/>
      <c r="DCT122" s="69"/>
      <c r="DCU122" s="69"/>
      <c r="DCV122" s="69"/>
      <c r="DCW122" s="69"/>
      <c r="DCX122" s="69"/>
      <c r="DCY122" s="69"/>
      <c r="DCZ122" s="69"/>
      <c r="DDA122" s="69"/>
      <c r="DDB122" s="69"/>
      <c r="DDC122" s="69"/>
      <c r="DDD122" s="69"/>
      <c r="DDE122" s="69"/>
      <c r="DDF122" s="69"/>
      <c r="DDG122" s="69"/>
      <c r="DDH122" s="69"/>
      <c r="DDI122" s="69"/>
      <c r="DDJ122" s="69"/>
      <c r="DDK122" s="69"/>
      <c r="DDL122" s="69"/>
      <c r="DDM122" s="69"/>
      <c r="DDN122" s="69"/>
      <c r="DDO122" s="69"/>
      <c r="DDP122" s="69"/>
      <c r="DDQ122" s="69"/>
      <c r="DDR122" s="69"/>
      <c r="DDS122" s="69"/>
      <c r="DDT122" s="69"/>
      <c r="DDU122" s="69"/>
      <c r="DDV122" s="69"/>
      <c r="DDW122" s="69"/>
      <c r="DDX122" s="69"/>
      <c r="DDY122" s="69"/>
      <c r="DDZ122" s="69"/>
      <c r="DEA122" s="69"/>
      <c r="DEB122" s="69"/>
      <c r="DEC122" s="69"/>
      <c r="DED122" s="69"/>
      <c r="DEE122" s="69"/>
      <c r="DEF122" s="69"/>
      <c r="DEG122" s="69"/>
      <c r="DEH122" s="69"/>
      <c r="DEI122" s="69"/>
      <c r="DEJ122" s="69"/>
      <c r="DEK122" s="69"/>
      <c r="DEL122" s="69"/>
      <c r="DEM122" s="69"/>
      <c r="DEN122" s="69"/>
      <c r="DEO122" s="69"/>
      <c r="DEP122" s="69"/>
      <c r="DEQ122" s="69"/>
      <c r="DER122" s="69"/>
      <c r="DES122" s="69"/>
      <c r="DET122" s="69"/>
      <c r="DEU122" s="69"/>
      <c r="DEV122" s="69"/>
      <c r="DEW122" s="69"/>
      <c r="DEX122" s="69"/>
      <c r="DEY122" s="69"/>
      <c r="DEZ122" s="69"/>
      <c r="DFA122" s="69"/>
      <c r="DFB122" s="69"/>
      <c r="DFC122" s="69"/>
      <c r="DFD122" s="69"/>
      <c r="DFE122" s="69"/>
      <c r="DFF122" s="69"/>
      <c r="DFG122" s="69"/>
      <c r="DFH122" s="69"/>
      <c r="DFI122" s="69"/>
      <c r="DFJ122" s="69"/>
      <c r="DFK122" s="69"/>
      <c r="DFL122" s="69"/>
      <c r="DFM122" s="69"/>
      <c r="DFN122" s="69"/>
      <c r="DFO122" s="69"/>
      <c r="DFP122" s="69"/>
      <c r="DFQ122" s="69"/>
      <c r="DFR122" s="69"/>
      <c r="DFS122" s="69"/>
      <c r="DFT122" s="69"/>
      <c r="DFU122" s="69"/>
      <c r="DFV122" s="69"/>
      <c r="DFW122" s="69"/>
      <c r="DFX122" s="69"/>
      <c r="DFY122" s="69"/>
      <c r="DFZ122" s="69"/>
      <c r="DGA122" s="69"/>
      <c r="DGB122" s="69"/>
      <c r="DGC122" s="69"/>
      <c r="DGD122" s="69"/>
      <c r="DGE122" s="69"/>
      <c r="DGF122" s="69"/>
      <c r="DGG122" s="69"/>
      <c r="DGH122" s="69"/>
      <c r="DGI122" s="69"/>
      <c r="DGJ122" s="69"/>
      <c r="DGK122" s="69"/>
      <c r="DGL122" s="69"/>
      <c r="DGM122" s="69"/>
      <c r="DGN122" s="69"/>
      <c r="DGO122" s="69"/>
      <c r="DGP122" s="69"/>
      <c r="DGQ122" s="69"/>
      <c r="DGR122" s="69"/>
      <c r="DGS122" s="69"/>
      <c r="DGT122" s="69"/>
      <c r="DGU122" s="69"/>
      <c r="DGV122" s="69"/>
      <c r="DGW122" s="69"/>
      <c r="DGX122" s="69"/>
      <c r="DGY122" s="69"/>
      <c r="DGZ122" s="69"/>
      <c r="DHA122" s="69"/>
      <c r="DHB122" s="69"/>
      <c r="DHC122" s="69"/>
      <c r="DHD122" s="69"/>
      <c r="DHE122" s="69"/>
      <c r="DHF122" s="69"/>
      <c r="DHG122" s="69"/>
      <c r="DHH122" s="69"/>
      <c r="DHI122" s="69"/>
      <c r="DHJ122" s="69"/>
      <c r="DHK122" s="69"/>
      <c r="DHL122" s="69"/>
      <c r="DHM122" s="69"/>
      <c r="DHN122" s="69"/>
      <c r="DHO122" s="69"/>
      <c r="DHP122" s="69"/>
      <c r="DHQ122" s="69"/>
      <c r="DHR122" s="69"/>
      <c r="DHS122" s="69"/>
      <c r="DHT122" s="69"/>
      <c r="DHU122" s="69"/>
      <c r="DHV122" s="69"/>
      <c r="DHW122" s="69"/>
      <c r="DHX122" s="69"/>
      <c r="DHY122" s="69"/>
      <c r="DHZ122" s="69"/>
      <c r="DIA122" s="69"/>
      <c r="DIB122" s="69"/>
      <c r="DIC122" s="69"/>
      <c r="DID122" s="69"/>
      <c r="DIE122" s="69"/>
      <c r="DIF122" s="69"/>
      <c r="DIG122" s="69"/>
      <c r="DIH122" s="69"/>
      <c r="DII122" s="69"/>
      <c r="DIJ122" s="69"/>
      <c r="DIK122" s="69"/>
      <c r="DIL122" s="69"/>
      <c r="DIM122" s="69"/>
      <c r="DIN122" s="69"/>
      <c r="DIO122" s="69"/>
      <c r="DIP122" s="69"/>
      <c r="DIQ122" s="69"/>
      <c r="DIR122" s="69"/>
      <c r="DIS122" s="69"/>
      <c r="DIT122" s="69"/>
      <c r="DIU122" s="69"/>
      <c r="DIV122" s="69"/>
      <c r="DIW122" s="69"/>
      <c r="DIX122" s="69"/>
      <c r="DIY122" s="69"/>
      <c r="DIZ122" s="69"/>
      <c r="DJA122" s="69"/>
      <c r="DJB122" s="69"/>
      <c r="DJC122" s="69"/>
      <c r="DJD122" s="69"/>
      <c r="DJE122" s="69"/>
      <c r="DJF122" s="69"/>
      <c r="DJG122" s="69"/>
      <c r="DJH122" s="69"/>
      <c r="DJI122" s="69"/>
      <c r="DJJ122" s="69"/>
      <c r="DJK122" s="69"/>
      <c r="DJL122" s="69"/>
      <c r="DJM122" s="69"/>
      <c r="DJN122" s="69"/>
      <c r="DJO122" s="69"/>
      <c r="DJP122" s="69"/>
      <c r="DJQ122" s="69"/>
      <c r="DJR122" s="69"/>
      <c r="DJS122" s="69"/>
      <c r="DJT122" s="69"/>
      <c r="DJU122" s="69"/>
      <c r="DJV122" s="69"/>
      <c r="DJW122" s="69"/>
      <c r="DJX122" s="69"/>
      <c r="DJY122" s="69"/>
      <c r="DJZ122" s="69"/>
      <c r="DKA122" s="69"/>
      <c r="DKB122" s="69"/>
      <c r="DKC122" s="69"/>
      <c r="DKD122" s="69"/>
      <c r="DKE122" s="69"/>
      <c r="DKF122" s="69"/>
      <c r="DKG122" s="69"/>
      <c r="DKH122" s="69"/>
      <c r="DKI122" s="69"/>
      <c r="DKJ122" s="69"/>
      <c r="DKK122" s="69"/>
      <c r="DKL122" s="69"/>
      <c r="DKM122" s="69"/>
      <c r="DKN122" s="69"/>
      <c r="DKO122" s="69"/>
      <c r="DKP122" s="69"/>
      <c r="DKQ122" s="69"/>
      <c r="DKR122" s="69"/>
      <c r="DKS122" s="69"/>
      <c r="DKT122" s="69"/>
      <c r="DKU122" s="69"/>
      <c r="DKV122" s="69"/>
      <c r="DKW122" s="69"/>
      <c r="DKX122" s="69"/>
      <c r="DKY122" s="69"/>
      <c r="DKZ122" s="69"/>
      <c r="DLA122" s="69"/>
      <c r="DLB122" s="69"/>
      <c r="DLC122" s="69"/>
      <c r="DLD122" s="69"/>
      <c r="DLE122" s="69"/>
      <c r="DLF122" s="69"/>
      <c r="DLG122" s="69"/>
      <c r="DLH122" s="69"/>
      <c r="DLI122" s="69"/>
      <c r="DLJ122" s="69"/>
      <c r="DLK122" s="69"/>
      <c r="DLL122" s="69"/>
      <c r="DLM122" s="69"/>
      <c r="DLN122" s="69"/>
      <c r="DLO122" s="69"/>
      <c r="DLP122" s="69"/>
      <c r="DLQ122" s="69"/>
      <c r="DLR122" s="69"/>
      <c r="DLS122" s="69"/>
      <c r="DLT122" s="69"/>
      <c r="DLU122" s="69"/>
      <c r="DLV122" s="69"/>
      <c r="DLW122" s="69"/>
      <c r="DLX122" s="69"/>
      <c r="DLY122" s="69"/>
      <c r="DLZ122" s="69"/>
      <c r="DMA122" s="69"/>
      <c r="DMB122" s="69"/>
      <c r="DMC122" s="69"/>
      <c r="DMD122" s="69"/>
      <c r="DME122" s="69"/>
      <c r="DMF122" s="69"/>
      <c r="DMG122" s="69"/>
      <c r="DMH122" s="69"/>
      <c r="DMI122" s="69"/>
      <c r="DMJ122" s="69"/>
      <c r="DMK122" s="69"/>
      <c r="DML122" s="69"/>
      <c r="DMM122" s="69"/>
      <c r="DMN122" s="69"/>
      <c r="DMO122" s="69"/>
      <c r="DMP122" s="69"/>
      <c r="DMQ122" s="69"/>
      <c r="DMR122" s="69"/>
      <c r="DMS122" s="69"/>
      <c r="DMT122" s="69"/>
      <c r="DMU122" s="69"/>
      <c r="DMV122" s="69"/>
      <c r="DMW122" s="69"/>
      <c r="DMX122" s="69"/>
      <c r="DMY122" s="69"/>
      <c r="DMZ122" s="69"/>
      <c r="DNA122" s="69"/>
      <c r="DNB122" s="69"/>
      <c r="DNC122" s="69"/>
      <c r="DND122" s="69"/>
      <c r="DNE122" s="69"/>
      <c r="DNF122" s="69"/>
      <c r="DNG122" s="69"/>
      <c r="DNH122" s="69"/>
      <c r="DNI122" s="69"/>
      <c r="DNJ122" s="69"/>
      <c r="DNK122" s="69"/>
      <c r="DNL122" s="69"/>
      <c r="DNM122" s="69"/>
      <c r="DNN122" s="69"/>
      <c r="DNO122" s="69"/>
      <c r="DNP122" s="69"/>
      <c r="DNQ122" s="69"/>
      <c r="DNR122" s="69"/>
      <c r="DNS122" s="69"/>
      <c r="DNT122" s="69"/>
      <c r="DNU122" s="69"/>
      <c r="DNV122" s="69"/>
      <c r="DNW122" s="69"/>
      <c r="DNX122" s="69"/>
      <c r="DNY122" s="69"/>
      <c r="DNZ122" s="69"/>
      <c r="DOA122" s="69"/>
      <c r="DOB122" s="69"/>
      <c r="DOC122" s="69"/>
      <c r="DOD122" s="69"/>
      <c r="DOE122" s="69"/>
      <c r="DOF122" s="69"/>
      <c r="DOG122" s="69"/>
      <c r="DOH122" s="69"/>
      <c r="DOI122" s="69"/>
      <c r="DOJ122" s="69"/>
      <c r="DOK122" s="69"/>
      <c r="DOL122" s="69"/>
      <c r="DOM122" s="69"/>
      <c r="DON122" s="69"/>
      <c r="DOO122" s="69"/>
      <c r="DOP122" s="69"/>
      <c r="DOQ122" s="69"/>
      <c r="DOR122" s="69"/>
      <c r="DOS122" s="69"/>
      <c r="DOT122" s="69"/>
      <c r="DOU122" s="69"/>
      <c r="DOV122" s="69"/>
      <c r="DOW122" s="69"/>
      <c r="DOX122" s="69"/>
      <c r="DOY122" s="69"/>
      <c r="DOZ122" s="69"/>
      <c r="DPA122" s="69"/>
      <c r="DPB122" s="69"/>
      <c r="DPC122" s="69"/>
      <c r="DPD122" s="69"/>
      <c r="DPE122" s="69"/>
      <c r="DPF122" s="69"/>
      <c r="DPG122" s="69"/>
      <c r="DPH122" s="69"/>
      <c r="DPI122" s="69"/>
      <c r="DPJ122" s="69"/>
      <c r="DPK122" s="69"/>
      <c r="DPL122" s="69"/>
      <c r="DPM122" s="69"/>
      <c r="DPN122" s="69"/>
      <c r="DPO122" s="69"/>
      <c r="DPP122" s="69"/>
      <c r="DPQ122" s="69"/>
      <c r="DPR122" s="69"/>
      <c r="DPS122" s="69"/>
      <c r="DPT122" s="69"/>
      <c r="DPU122" s="69"/>
      <c r="DPV122" s="69"/>
      <c r="DPW122" s="69"/>
      <c r="DPX122" s="69"/>
      <c r="DPY122" s="69"/>
      <c r="DPZ122" s="69"/>
      <c r="DQA122" s="69"/>
      <c r="DQB122" s="69"/>
      <c r="DQC122" s="69"/>
      <c r="DQD122" s="69"/>
      <c r="DQE122" s="69"/>
      <c r="DQF122" s="69"/>
      <c r="DQG122" s="69"/>
      <c r="DQH122" s="69"/>
      <c r="DQI122" s="69"/>
      <c r="DQJ122" s="69"/>
      <c r="DQK122" s="69"/>
      <c r="DQL122" s="69"/>
      <c r="DQM122" s="69"/>
      <c r="DQN122" s="69"/>
      <c r="DQO122" s="69"/>
      <c r="DQP122" s="69"/>
      <c r="DQQ122" s="69"/>
      <c r="DQR122" s="69"/>
      <c r="DQS122" s="69"/>
      <c r="DQT122" s="69"/>
      <c r="DQU122" s="69"/>
      <c r="DQV122" s="69"/>
      <c r="DQW122" s="69"/>
      <c r="DQX122" s="69"/>
      <c r="DQY122" s="69"/>
      <c r="DQZ122" s="69"/>
      <c r="DRA122" s="69"/>
      <c r="DRB122" s="69"/>
      <c r="DRC122" s="69"/>
      <c r="DRD122" s="69"/>
      <c r="DRE122" s="69"/>
      <c r="DRF122" s="69"/>
      <c r="DRG122" s="69"/>
      <c r="DRH122" s="69"/>
      <c r="DRI122" s="69"/>
      <c r="DRJ122" s="69"/>
      <c r="DRK122" s="69"/>
      <c r="DRL122" s="69"/>
      <c r="DRM122" s="69"/>
      <c r="DRN122" s="69"/>
      <c r="DRO122" s="69"/>
      <c r="DRP122" s="69"/>
      <c r="DRQ122" s="69"/>
      <c r="DRR122" s="69"/>
      <c r="DRS122" s="69"/>
      <c r="DRT122" s="69"/>
      <c r="DRU122" s="69"/>
      <c r="DRV122" s="69"/>
      <c r="DRW122" s="69"/>
      <c r="DRX122" s="69"/>
      <c r="DRY122" s="69"/>
      <c r="DRZ122" s="69"/>
      <c r="DSA122" s="69"/>
      <c r="DSB122" s="69"/>
      <c r="DSC122" s="69"/>
      <c r="DSD122" s="69"/>
      <c r="DSE122" s="69"/>
      <c r="DSF122" s="69"/>
      <c r="DSG122" s="69"/>
      <c r="DSH122" s="69"/>
      <c r="DSI122" s="69"/>
      <c r="DSJ122" s="69"/>
      <c r="DSK122" s="69"/>
      <c r="DSL122" s="69"/>
      <c r="DSM122" s="69"/>
      <c r="DSN122" s="69"/>
      <c r="DSO122" s="69"/>
      <c r="DSP122" s="69"/>
      <c r="DSQ122" s="69"/>
      <c r="DSR122" s="69"/>
      <c r="DSS122" s="69"/>
      <c r="DST122" s="69"/>
      <c r="DSU122" s="69"/>
      <c r="DSV122" s="69"/>
      <c r="DSW122" s="69"/>
      <c r="DSX122" s="69"/>
      <c r="DSY122" s="69"/>
      <c r="DSZ122" s="69"/>
      <c r="DTA122" s="69"/>
      <c r="DTB122" s="69"/>
      <c r="DTC122" s="69"/>
      <c r="DTD122" s="69"/>
      <c r="DTE122" s="69"/>
      <c r="DTF122" s="69"/>
      <c r="DTG122" s="69"/>
      <c r="DTH122" s="69"/>
      <c r="DTI122" s="69"/>
      <c r="DTJ122" s="69"/>
      <c r="DTK122" s="69"/>
      <c r="DTL122" s="69"/>
      <c r="DTM122" s="69"/>
      <c r="DTN122" s="69"/>
      <c r="DTO122" s="69"/>
      <c r="DTP122" s="69"/>
      <c r="DTQ122" s="69"/>
      <c r="DTR122" s="69"/>
      <c r="DTS122" s="69"/>
      <c r="DTT122" s="69"/>
      <c r="DTU122" s="69"/>
      <c r="DTV122" s="69"/>
      <c r="DTW122" s="69"/>
      <c r="DTX122" s="69"/>
      <c r="DTY122" s="69"/>
      <c r="DTZ122" s="69"/>
      <c r="DUA122" s="69"/>
      <c r="DUB122" s="69"/>
      <c r="DUC122" s="69"/>
      <c r="DUD122" s="69"/>
      <c r="DUE122" s="69"/>
      <c r="DUF122" s="69"/>
      <c r="DUG122" s="69"/>
      <c r="DUH122" s="69"/>
      <c r="DUI122" s="69"/>
      <c r="DUJ122" s="69"/>
      <c r="DUK122" s="69"/>
      <c r="DUL122" s="69"/>
      <c r="DUM122" s="69"/>
      <c r="DUN122" s="69"/>
      <c r="DUO122" s="69"/>
      <c r="DUP122" s="69"/>
      <c r="DUQ122" s="69"/>
      <c r="DUR122" s="69"/>
      <c r="DUS122" s="69"/>
      <c r="DUT122" s="69"/>
      <c r="DUU122" s="69"/>
      <c r="DUV122" s="69"/>
      <c r="DUW122" s="69"/>
      <c r="DUX122" s="69"/>
      <c r="DUY122" s="69"/>
      <c r="DUZ122" s="69"/>
      <c r="DVA122" s="69"/>
      <c r="DVB122" s="69"/>
      <c r="DVC122" s="69"/>
      <c r="DVD122" s="69"/>
      <c r="DVE122" s="69"/>
      <c r="DVF122" s="69"/>
      <c r="DVG122" s="69"/>
      <c r="DVH122" s="69"/>
      <c r="DVI122" s="69"/>
      <c r="DVJ122" s="69"/>
      <c r="DVK122" s="69"/>
      <c r="DVL122" s="69"/>
      <c r="DVM122" s="69"/>
      <c r="DVN122" s="69"/>
      <c r="DVO122" s="69"/>
      <c r="DVP122" s="69"/>
      <c r="DVQ122" s="69"/>
      <c r="DVR122" s="69"/>
      <c r="DVS122" s="69"/>
      <c r="DVT122" s="69"/>
      <c r="DVU122" s="69"/>
      <c r="DVV122" s="69"/>
      <c r="DVW122" s="69"/>
      <c r="DVX122" s="69"/>
      <c r="DVY122" s="69"/>
      <c r="DVZ122" s="69"/>
      <c r="DWA122" s="69"/>
      <c r="DWB122" s="69"/>
      <c r="DWC122" s="69"/>
      <c r="DWD122" s="69"/>
      <c r="DWE122" s="69"/>
      <c r="DWF122" s="69"/>
      <c r="DWG122" s="69"/>
      <c r="DWH122" s="69"/>
      <c r="DWI122" s="69"/>
      <c r="DWJ122" s="69"/>
      <c r="DWK122" s="69"/>
      <c r="DWL122" s="69"/>
      <c r="DWM122" s="69"/>
      <c r="DWN122" s="69"/>
      <c r="DWO122" s="69"/>
      <c r="DWP122" s="69"/>
      <c r="DWQ122" s="69"/>
      <c r="DWR122" s="69"/>
      <c r="DWS122" s="69"/>
      <c r="DWT122" s="69"/>
      <c r="DWU122" s="69"/>
      <c r="DWV122" s="69"/>
      <c r="DWW122" s="69"/>
      <c r="DWX122" s="69"/>
      <c r="DWY122" s="69"/>
      <c r="DWZ122" s="69"/>
      <c r="DXA122" s="69"/>
      <c r="DXB122" s="69"/>
      <c r="DXC122" s="69"/>
      <c r="DXD122" s="69"/>
      <c r="DXE122" s="69"/>
      <c r="DXF122" s="69"/>
      <c r="DXG122" s="69"/>
      <c r="DXH122" s="69"/>
      <c r="DXI122" s="69"/>
      <c r="DXJ122" s="69"/>
      <c r="DXK122" s="69"/>
      <c r="DXL122" s="69"/>
      <c r="DXM122" s="69"/>
      <c r="DXN122" s="69"/>
      <c r="DXO122" s="69"/>
      <c r="DXP122" s="69"/>
      <c r="DXQ122" s="69"/>
      <c r="DXR122" s="69"/>
      <c r="DXS122" s="69"/>
      <c r="DXT122" s="69"/>
      <c r="DXU122" s="69"/>
      <c r="DXV122" s="69"/>
      <c r="DXW122" s="69"/>
      <c r="DXX122" s="69"/>
      <c r="DXY122" s="69"/>
      <c r="DXZ122" s="69"/>
      <c r="DYA122" s="69"/>
      <c r="DYB122" s="69"/>
      <c r="DYC122" s="69"/>
      <c r="DYD122" s="69"/>
      <c r="DYE122" s="69"/>
      <c r="DYF122" s="69"/>
      <c r="DYG122" s="69"/>
      <c r="DYH122" s="69"/>
      <c r="DYI122" s="69"/>
      <c r="DYJ122" s="69"/>
      <c r="DYK122" s="69"/>
      <c r="DYL122" s="69"/>
      <c r="DYM122" s="69"/>
      <c r="DYN122" s="69"/>
      <c r="DYO122" s="69"/>
      <c r="DYP122" s="69"/>
      <c r="DYQ122" s="69"/>
      <c r="DYR122" s="69"/>
      <c r="DYS122" s="69"/>
      <c r="DYT122" s="69"/>
      <c r="DYU122" s="69"/>
      <c r="DYV122" s="69"/>
      <c r="DYW122" s="69"/>
      <c r="DYX122" s="69"/>
      <c r="DYY122" s="69"/>
      <c r="DYZ122" s="69"/>
      <c r="DZA122" s="69"/>
      <c r="DZB122" s="69"/>
      <c r="DZC122" s="69"/>
      <c r="DZD122" s="69"/>
      <c r="DZE122" s="69"/>
      <c r="DZF122" s="69"/>
      <c r="DZG122" s="69"/>
      <c r="DZH122" s="69"/>
      <c r="DZI122" s="69"/>
      <c r="DZJ122" s="69"/>
      <c r="DZK122" s="69"/>
      <c r="DZL122" s="69"/>
      <c r="DZM122" s="69"/>
      <c r="DZN122" s="69"/>
      <c r="DZO122" s="69"/>
      <c r="DZP122" s="69"/>
      <c r="DZQ122" s="69"/>
      <c r="DZR122" s="69"/>
      <c r="DZS122" s="69"/>
      <c r="DZT122" s="69"/>
      <c r="DZU122" s="69"/>
      <c r="DZV122" s="69"/>
      <c r="DZW122" s="69"/>
      <c r="DZX122" s="69"/>
      <c r="DZY122" s="69"/>
      <c r="DZZ122" s="69"/>
      <c r="EAA122" s="69"/>
      <c r="EAB122" s="69"/>
      <c r="EAC122" s="69"/>
      <c r="EAD122" s="69"/>
      <c r="EAE122" s="69"/>
      <c r="EAF122" s="69"/>
      <c r="EAG122" s="69"/>
      <c r="EAH122" s="69"/>
      <c r="EAI122" s="69"/>
      <c r="EAJ122" s="69"/>
      <c r="EAK122" s="69"/>
      <c r="EAL122" s="69"/>
      <c r="EAM122" s="69"/>
      <c r="EAN122" s="69"/>
      <c r="EAO122" s="69"/>
      <c r="EAP122" s="69"/>
      <c r="EAQ122" s="69"/>
      <c r="EAR122" s="69"/>
      <c r="EAS122" s="69"/>
      <c r="EAT122" s="69"/>
      <c r="EAU122" s="69"/>
      <c r="EAV122" s="69"/>
      <c r="EAW122" s="69"/>
      <c r="EAX122" s="69"/>
      <c r="EAY122" s="69"/>
      <c r="EAZ122" s="69"/>
      <c r="EBA122" s="69"/>
      <c r="EBB122" s="69"/>
      <c r="EBC122" s="69"/>
      <c r="EBD122" s="69"/>
      <c r="EBE122" s="69"/>
      <c r="EBF122" s="69"/>
      <c r="EBG122" s="69"/>
      <c r="EBH122" s="69"/>
      <c r="EBI122" s="69"/>
      <c r="EBJ122" s="69"/>
      <c r="EBK122" s="69"/>
      <c r="EBL122" s="69"/>
      <c r="EBM122" s="69"/>
      <c r="EBN122" s="69"/>
      <c r="EBO122" s="69"/>
      <c r="EBP122" s="69"/>
      <c r="EBQ122" s="69"/>
      <c r="EBR122" s="69"/>
      <c r="EBS122" s="69"/>
      <c r="EBT122" s="69"/>
      <c r="EBU122" s="69"/>
      <c r="EBV122" s="69"/>
      <c r="EBW122" s="69"/>
      <c r="EBX122" s="69"/>
      <c r="EBY122" s="69"/>
      <c r="EBZ122" s="69"/>
      <c r="ECA122" s="69"/>
      <c r="ECB122" s="69"/>
      <c r="ECC122" s="69"/>
      <c r="ECD122" s="69"/>
      <c r="ECE122" s="69"/>
      <c r="ECF122" s="69"/>
      <c r="ECG122" s="69"/>
      <c r="ECH122" s="69"/>
      <c r="ECI122" s="69"/>
      <c r="ECJ122" s="69"/>
      <c r="ECK122" s="69"/>
      <c r="ECL122" s="69"/>
      <c r="ECM122" s="69"/>
      <c r="ECN122" s="69"/>
      <c r="ECO122" s="69"/>
      <c r="ECP122" s="69"/>
      <c r="ECQ122" s="69"/>
      <c r="ECR122" s="69"/>
      <c r="ECS122" s="69"/>
      <c r="ECT122" s="69"/>
      <c r="ECU122" s="69"/>
      <c r="ECV122" s="69"/>
      <c r="ECW122" s="69"/>
      <c r="ECX122" s="69"/>
      <c r="ECY122" s="69"/>
      <c r="ECZ122" s="69"/>
      <c r="EDA122" s="69"/>
      <c r="EDB122" s="69"/>
      <c r="EDC122" s="69"/>
      <c r="EDD122" s="69"/>
      <c r="EDE122" s="69"/>
      <c r="EDF122" s="69"/>
      <c r="EDG122" s="69"/>
      <c r="EDH122" s="69"/>
      <c r="EDI122" s="69"/>
      <c r="EDJ122" s="69"/>
      <c r="EDK122" s="69"/>
      <c r="EDL122" s="69"/>
      <c r="EDM122" s="69"/>
      <c r="EDN122" s="69"/>
      <c r="EDO122" s="69"/>
      <c r="EDP122" s="69"/>
      <c r="EDQ122" s="69"/>
      <c r="EDR122" s="69"/>
      <c r="EDS122" s="69"/>
      <c r="EDT122" s="69"/>
      <c r="EDU122" s="69"/>
      <c r="EDV122" s="69"/>
      <c r="EDW122" s="69"/>
      <c r="EDX122" s="69"/>
      <c r="EDY122" s="69"/>
      <c r="EDZ122" s="69"/>
      <c r="EEA122" s="69"/>
      <c r="EEB122" s="69"/>
      <c r="EEC122" s="69"/>
      <c r="EED122" s="69"/>
      <c r="EEE122" s="69"/>
      <c r="EEF122" s="69"/>
      <c r="EEG122" s="69"/>
      <c r="EEH122" s="69"/>
      <c r="EEI122" s="69"/>
      <c r="EEJ122" s="69"/>
      <c r="EEK122" s="69"/>
      <c r="EEL122" s="69"/>
      <c r="EEM122" s="69"/>
      <c r="EEN122" s="69"/>
      <c r="EEO122" s="69"/>
      <c r="EEP122" s="69"/>
      <c r="EEQ122" s="69"/>
      <c r="EER122" s="69"/>
      <c r="EES122" s="69"/>
      <c r="EET122" s="69"/>
      <c r="EEU122" s="69"/>
      <c r="EEV122" s="69"/>
      <c r="EEW122" s="69"/>
      <c r="EEX122" s="69"/>
      <c r="EEY122" s="69"/>
      <c r="EEZ122" s="69"/>
      <c r="EFA122" s="69"/>
      <c r="EFB122" s="69"/>
      <c r="EFC122" s="69"/>
      <c r="EFD122" s="69"/>
      <c r="EFE122" s="69"/>
      <c r="EFF122" s="69"/>
      <c r="EFG122" s="69"/>
      <c r="EFH122" s="69"/>
      <c r="EFI122" s="69"/>
      <c r="EFJ122" s="69"/>
      <c r="EFK122" s="69"/>
      <c r="EFL122" s="69"/>
      <c r="EFM122" s="69"/>
      <c r="EFN122" s="69"/>
      <c r="EFO122" s="69"/>
      <c r="EFP122" s="69"/>
      <c r="EFQ122" s="69"/>
      <c r="EFR122" s="69"/>
      <c r="EFS122" s="69"/>
      <c r="EFT122" s="69"/>
      <c r="EFU122" s="69"/>
      <c r="EFV122" s="69"/>
      <c r="EFW122" s="69"/>
      <c r="EFX122" s="69"/>
      <c r="EFY122" s="69"/>
      <c r="EFZ122" s="69"/>
      <c r="EGA122" s="69"/>
      <c r="EGB122" s="69"/>
      <c r="EGC122" s="69"/>
      <c r="EGD122" s="69"/>
      <c r="EGE122" s="69"/>
      <c r="EGF122" s="69"/>
      <c r="EGG122" s="69"/>
      <c r="EGH122" s="69"/>
      <c r="EGI122" s="69"/>
      <c r="EGJ122" s="69"/>
      <c r="EGK122" s="69"/>
      <c r="EGL122" s="69"/>
      <c r="EGM122" s="69"/>
      <c r="EGN122" s="69"/>
      <c r="EGO122" s="69"/>
      <c r="EGP122" s="69"/>
      <c r="EGQ122" s="69"/>
      <c r="EGR122" s="69"/>
      <c r="EGS122" s="69"/>
      <c r="EGT122" s="69"/>
      <c r="EGU122" s="69"/>
      <c r="EGV122" s="69"/>
      <c r="EGW122" s="69"/>
      <c r="EGX122" s="69"/>
      <c r="EGY122" s="69"/>
      <c r="EGZ122" s="69"/>
      <c r="EHA122" s="69"/>
      <c r="EHB122" s="69"/>
      <c r="EHC122" s="69"/>
      <c r="EHD122" s="69"/>
      <c r="EHE122" s="69"/>
      <c r="EHF122" s="69"/>
      <c r="EHG122" s="69"/>
      <c r="EHH122" s="69"/>
      <c r="EHI122" s="69"/>
      <c r="EHJ122" s="69"/>
      <c r="EHK122" s="69"/>
      <c r="EHL122" s="69"/>
      <c r="EHM122" s="69"/>
      <c r="EHN122" s="69"/>
      <c r="EHO122" s="69"/>
      <c r="EHP122" s="69"/>
      <c r="EHQ122" s="69"/>
      <c r="EHR122" s="69"/>
      <c r="EHS122" s="69"/>
      <c r="EHT122" s="69"/>
      <c r="EHU122" s="69"/>
      <c r="EHV122" s="69"/>
      <c r="EHW122" s="69"/>
      <c r="EHX122" s="69"/>
      <c r="EHY122" s="69"/>
      <c r="EHZ122" s="69"/>
      <c r="EIA122" s="69"/>
      <c r="EIB122" s="69"/>
      <c r="EIC122" s="69"/>
      <c r="EID122" s="69"/>
      <c r="EIE122" s="69"/>
      <c r="EIF122" s="69"/>
      <c r="EIG122" s="69"/>
      <c r="EIH122" s="69"/>
      <c r="EII122" s="69"/>
      <c r="EIJ122" s="69"/>
      <c r="EIK122" s="69"/>
      <c r="EIL122" s="69"/>
      <c r="EIM122" s="69"/>
      <c r="EIN122" s="69"/>
      <c r="EIO122" s="69"/>
      <c r="EIP122" s="69"/>
      <c r="EIQ122" s="69"/>
      <c r="EIR122" s="69"/>
      <c r="EIS122" s="69"/>
      <c r="EIT122" s="69"/>
      <c r="EIU122" s="69"/>
      <c r="EIV122" s="69"/>
      <c r="EIW122" s="69"/>
      <c r="EIX122" s="69"/>
      <c r="EIY122" s="69"/>
      <c r="EIZ122" s="69"/>
      <c r="EJA122" s="69"/>
      <c r="EJB122" s="69"/>
      <c r="EJC122" s="69"/>
      <c r="EJD122" s="69"/>
      <c r="EJE122" s="69"/>
      <c r="EJF122" s="69"/>
      <c r="EJG122" s="69"/>
      <c r="EJH122" s="69"/>
      <c r="EJI122" s="69"/>
      <c r="EJJ122" s="69"/>
      <c r="EJK122" s="69"/>
      <c r="EJL122" s="69"/>
      <c r="EJM122" s="69"/>
      <c r="EJN122" s="69"/>
      <c r="EJO122" s="69"/>
      <c r="EJP122" s="69"/>
      <c r="EJQ122" s="69"/>
      <c r="EJR122" s="69"/>
      <c r="EJS122" s="69"/>
      <c r="EJT122" s="69"/>
      <c r="EJU122" s="69"/>
      <c r="EJV122" s="69"/>
      <c r="EJW122" s="69"/>
      <c r="EJX122" s="69"/>
      <c r="EJY122" s="69"/>
      <c r="EJZ122" s="69"/>
      <c r="EKA122" s="69"/>
      <c r="EKB122" s="69"/>
      <c r="EKC122" s="69"/>
      <c r="EKD122" s="69"/>
      <c r="EKE122" s="69"/>
      <c r="EKF122" s="69"/>
      <c r="EKG122" s="69"/>
      <c r="EKH122" s="69"/>
      <c r="EKI122" s="69"/>
      <c r="EKJ122" s="69"/>
      <c r="EKK122" s="69"/>
      <c r="EKL122" s="69"/>
      <c r="EKM122" s="69"/>
      <c r="EKN122" s="69"/>
      <c r="EKO122" s="69"/>
      <c r="EKP122" s="69"/>
      <c r="EKQ122" s="69"/>
      <c r="EKR122" s="69"/>
      <c r="EKS122" s="69"/>
      <c r="EKT122" s="69"/>
      <c r="EKU122" s="69"/>
      <c r="EKV122" s="69"/>
      <c r="EKW122" s="69"/>
      <c r="EKX122" s="69"/>
      <c r="EKY122" s="69"/>
      <c r="EKZ122" s="69"/>
      <c r="ELA122" s="69"/>
      <c r="ELB122" s="69"/>
      <c r="ELC122" s="69"/>
      <c r="ELD122" s="69"/>
      <c r="ELE122" s="69"/>
      <c r="ELF122" s="69"/>
      <c r="ELG122" s="69"/>
      <c r="ELH122" s="69"/>
      <c r="ELI122" s="69"/>
      <c r="ELJ122" s="69"/>
      <c r="ELK122" s="69"/>
      <c r="ELL122" s="69"/>
      <c r="ELM122" s="69"/>
      <c r="ELN122" s="69"/>
      <c r="ELO122" s="69"/>
      <c r="ELP122" s="69"/>
      <c r="ELQ122" s="69"/>
      <c r="ELR122" s="69"/>
      <c r="ELS122" s="69"/>
      <c r="ELT122" s="69"/>
      <c r="ELU122" s="69"/>
      <c r="ELV122" s="69"/>
      <c r="ELW122" s="69"/>
      <c r="ELX122" s="69"/>
      <c r="ELY122" s="69"/>
      <c r="ELZ122" s="69"/>
      <c r="EMA122" s="69"/>
      <c r="EMB122" s="69"/>
      <c r="EMC122" s="69"/>
      <c r="EMD122" s="69"/>
      <c r="EME122" s="69"/>
      <c r="EMF122" s="69"/>
      <c r="EMG122" s="69"/>
      <c r="EMH122" s="69"/>
      <c r="EMI122" s="69"/>
      <c r="EMJ122" s="69"/>
      <c r="EMK122" s="69"/>
      <c r="EML122" s="69"/>
      <c r="EMM122" s="69"/>
      <c r="EMN122" s="69"/>
      <c r="EMO122" s="69"/>
      <c r="EMP122" s="69"/>
      <c r="EMQ122" s="69"/>
      <c r="EMR122" s="69"/>
      <c r="EMS122" s="69"/>
      <c r="EMT122" s="69"/>
      <c r="EMU122" s="69"/>
      <c r="EMV122" s="69"/>
      <c r="EMW122" s="69"/>
      <c r="EMX122" s="69"/>
      <c r="EMY122" s="69"/>
      <c r="EMZ122" s="69"/>
      <c r="ENA122" s="69"/>
      <c r="ENB122" s="69"/>
      <c r="ENC122" s="69"/>
      <c r="END122" s="69"/>
      <c r="ENE122" s="69"/>
      <c r="ENF122" s="69"/>
      <c r="ENG122" s="69"/>
      <c r="ENH122" s="69"/>
      <c r="ENI122" s="69"/>
      <c r="ENJ122" s="69"/>
      <c r="ENK122" s="69"/>
      <c r="ENL122" s="69"/>
      <c r="ENM122" s="69"/>
      <c r="ENN122" s="69"/>
      <c r="ENO122" s="69"/>
      <c r="ENP122" s="69"/>
      <c r="ENQ122" s="69"/>
      <c r="ENR122" s="69"/>
      <c r="ENS122" s="69"/>
      <c r="ENT122" s="69"/>
      <c r="ENU122" s="69"/>
      <c r="ENV122" s="69"/>
      <c r="ENW122" s="69"/>
      <c r="ENX122" s="69"/>
      <c r="ENY122" s="69"/>
      <c r="ENZ122" s="69"/>
      <c r="EOA122" s="69"/>
      <c r="EOB122" s="69"/>
      <c r="EOC122" s="69"/>
      <c r="EOD122" s="69"/>
      <c r="EOE122" s="69"/>
      <c r="EOF122" s="69"/>
      <c r="EOG122" s="69"/>
      <c r="EOH122" s="69"/>
      <c r="EOI122" s="69"/>
      <c r="EOJ122" s="69"/>
      <c r="EOK122" s="69"/>
      <c r="EOL122" s="69"/>
      <c r="EOM122" s="69"/>
      <c r="EON122" s="69"/>
      <c r="EOO122" s="69"/>
      <c r="EOP122" s="69"/>
      <c r="EOQ122" s="69"/>
      <c r="EOR122" s="69"/>
      <c r="EOS122" s="69"/>
      <c r="EOT122" s="69"/>
      <c r="EOU122" s="69"/>
      <c r="EOV122" s="69"/>
      <c r="EOW122" s="69"/>
      <c r="EOX122" s="69"/>
      <c r="EOY122" s="69"/>
      <c r="EOZ122" s="69"/>
      <c r="EPA122" s="69"/>
      <c r="EPB122" s="69"/>
      <c r="EPC122" s="69"/>
      <c r="EPD122" s="69"/>
      <c r="EPE122" s="69"/>
      <c r="EPF122" s="69"/>
      <c r="EPG122" s="69"/>
      <c r="EPH122" s="69"/>
      <c r="EPI122" s="69"/>
      <c r="EPJ122" s="69"/>
      <c r="EPK122" s="69"/>
      <c r="EPL122" s="69"/>
      <c r="EPM122" s="69"/>
      <c r="EPN122" s="69"/>
      <c r="EPO122" s="69"/>
      <c r="EPP122" s="69"/>
      <c r="EPQ122" s="69"/>
      <c r="EPR122" s="69"/>
      <c r="EPS122" s="69"/>
      <c r="EPT122" s="69"/>
      <c r="EPU122" s="69"/>
      <c r="EPV122" s="69"/>
      <c r="EPW122" s="69"/>
      <c r="EPX122" s="69"/>
      <c r="EPY122" s="69"/>
      <c r="EPZ122" s="69"/>
      <c r="EQA122" s="69"/>
      <c r="EQB122" s="69"/>
      <c r="EQC122" s="69"/>
      <c r="EQD122" s="69"/>
      <c r="EQE122" s="69"/>
      <c r="EQF122" s="69"/>
      <c r="EQG122" s="69"/>
      <c r="EQH122" s="69"/>
      <c r="EQI122" s="69"/>
      <c r="EQJ122" s="69"/>
      <c r="EQK122" s="69"/>
      <c r="EQL122" s="69"/>
      <c r="EQM122" s="69"/>
      <c r="EQN122" s="69"/>
      <c r="EQO122" s="69"/>
      <c r="EQP122" s="69"/>
      <c r="EQQ122" s="69"/>
      <c r="EQR122" s="69"/>
      <c r="EQS122" s="69"/>
      <c r="EQT122" s="69"/>
      <c r="EQU122" s="69"/>
      <c r="EQV122" s="69"/>
      <c r="EQW122" s="69"/>
      <c r="EQX122" s="69"/>
      <c r="EQY122" s="69"/>
      <c r="EQZ122" s="69"/>
      <c r="ERA122" s="69"/>
      <c r="ERB122" s="69"/>
      <c r="ERC122" s="69"/>
      <c r="ERD122" s="69"/>
      <c r="ERE122" s="69"/>
      <c r="ERF122" s="69"/>
      <c r="ERG122" s="69"/>
      <c r="ERH122" s="69"/>
      <c r="ERI122" s="69"/>
      <c r="ERJ122" s="69"/>
      <c r="ERK122" s="69"/>
      <c r="ERL122" s="69"/>
      <c r="ERM122" s="69"/>
      <c r="ERN122" s="69"/>
      <c r="ERO122" s="69"/>
      <c r="ERP122" s="69"/>
      <c r="ERQ122" s="69"/>
      <c r="ERR122" s="69"/>
      <c r="ERS122" s="69"/>
      <c r="ERT122" s="69"/>
      <c r="ERU122" s="69"/>
      <c r="ERV122" s="69"/>
      <c r="ERW122" s="69"/>
      <c r="ERX122" s="69"/>
      <c r="ERY122" s="69"/>
      <c r="ERZ122" s="69"/>
      <c r="ESA122" s="69"/>
      <c r="ESB122" s="69"/>
      <c r="ESC122" s="69"/>
      <c r="ESD122" s="69"/>
      <c r="ESE122" s="69"/>
      <c r="ESF122" s="69"/>
      <c r="ESG122" s="69"/>
      <c r="ESH122" s="69"/>
      <c r="ESI122" s="69"/>
      <c r="ESJ122" s="69"/>
      <c r="ESK122" s="69"/>
      <c r="ESL122" s="69"/>
      <c r="ESM122" s="69"/>
      <c r="ESN122" s="69"/>
      <c r="ESO122" s="69"/>
      <c r="ESP122" s="69"/>
      <c r="ESQ122" s="69"/>
      <c r="ESR122" s="69"/>
      <c r="ESS122" s="69"/>
      <c r="EST122" s="69"/>
      <c r="ESU122" s="69"/>
      <c r="ESV122" s="69"/>
      <c r="ESW122" s="69"/>
      <c r="ESX122" s="69"/>
      <c r="ESY122" s="69"/>
      <c r="ESZ122" s="69"/>
      <c r="ETA122" s="69"/>
      <c r="ETB122" s="69"/>
      <c r="ETC122" s="69"/>
      <c r="ETD122" s="69"/>
      <c r="ETE122" s="69"/>
      <c r="ETF122" s="69"/>
      <c r="ETG122" s="69"/>
      <c r="ETH122" s="69"/>
      <c r="ETI122" s="69"/>
      <c r="ETJ122" s="69"/>
      <c r="ETK122" s="69"/>
      <c r="ETL122" s="69"/>
      <c r="ETM122" s="69"/>
      <c r="ETN122" s="69"/>
      <c r="ETO122" s="69"/>
      <c r="ETP122" s="69"/>
      <c r="ETQ122" s="69"/>
      <c r="ETR122" s="69"/>
      <c r="ETS122" s="69"/>
      <c r="ETT122" s="69"/>
      <c r="ETU122" s="69"/>
      <c r="ETV122" s="69"/>
      <c r="ETW122" s="69"/>
      <c r="ETX122" s="69"/>
      <c r="ETY122" s="69"/>
      <c r="ETZ122" s="69"/>
      <c r="EUA122" s="69"/>
      <c r="EUB122" s="69"/>
      <c r="EUC122" s="69"/>
      <c r="EUD122" s="69"/>
      <c r="EUE122" s="69"/>
      <c r="EUF122" s="69"/>
      <c r="EUG122" s="69"/>
      <c r="EUH122" s="69"/>
      <c r="EUI122" s="69"/>
      <c r="EUJ122" s="69"/>
      <c r="EUK122" s="69"/>
      <c r="EUL122" s="69"/>
      <c r="EUM122" s="69"/>
      <c r="EUN122" s="69"/>
      <c r="EUO122" s="69"/>
      <c r="EUP122" s="69"/>
      <c r="EUQ122" s="69"/>
      <c r="EUR122" s="69"/>
      <c r="EUS122" s="69"/>
      <c r="EUT122" s="69"/>
      <c r="EUU122" s="69"/>
      <c r="EUV122" s="69"/>
      <c r="EUW122" s="69"/>
      <c r="EUX122" s="69"/>
      <c r="EUY122" s="69"/>
      <c r="EUZ122" s="69"/>
      <c r="EVA122" s="69"/>
      <c r="EVB122" s="69"/>
      <c r="EVC122" s="69"/>
      <c r="EVD122" s="69"/>
      <c r="EVE122" s="69"/>
      <c r="EVF122" s="69"/>
      <c r="EVG122" s="69"/>
      <c r="EVH122" s="69"/>
      <c r="EVI122" s="69"/>
      <c r="EVJ122" s="69"/>
      <c r="EVK122" s="69"/>
      <c r="EVL122" s="69"/>
      <c r="EVM122" s="69"/>
      <c r="EVN122" s="69"/>
      <c r="EVO122" s="69"/>
      <c r="EVP122" s="69"/>
      <c r="EVQ122" s="69"/>
      <c r="EVR122" s="69"/>
      <c r="EVS122" s="69"/>
      <c r="EVT122" s="69"/>
      <c r="EVU122" s="69"/>
      <c r="EVV122" s="69"/>
      <c r="EVW122" s="69"/>
      <c r="EVX122" s="69"/>
      <c r="EVY122" s="69"/>
      <c r="EVZ122" s="69"/>
      <c r="EWA122" s="69"/>
      <c r="EWB122" s="69"/>
      <c r="EWC122" s="69"/>
      <c r="EWD122" s="69"/>
      <c r="EWE122" s="69"/>
      <c r="EWF122" s="69"/>
      <c r="EWG122" s="69"/>
      <c r="EWH122" s="69"/>
      <c r="EWI122" s="69"/>
      <c r="EWJ122" s="69"/>
      <c r="EWK122" s="69"/>
      <c r="EWL122" s="69"/>
      <c r="EWM122" s="69"/>
      <c r="EWN122" s="69"/>
      <c r="EWO122" s="69"/>
      <c r="EWP122" s="69"/>
      <c r="EWQ122" s="69"/>
      <c r="EWR122" s="69"/>
      <c r="EWS122" s="69"/>
      <c r="EWT122" s="69"/>
      <c r="EWU122" s="69"/>
      <c r="EWV122" s="69"/>
      <c r="EWW122" s="69"/>
      <c r="EWX122" s="69"/>
      <c r="EWY122" s="69"/>
      <c r="EWZ122" s="69"/>
      <c r="EXA122" s="69"/>
      <c r="EXB122" s="69"/>
      <c r="EXC122" s="69"/>
      <c r="EXD122" s="69"/>
      <c r="EXE122" s="69"/>
      <c r="EXF122" s="69"/>
      <c r="EXG122" s="69"/>
      <c r="EXH122" s="69"/>
      <c r="EXI122" s="69"/>
      <c r="EXJ122" s="69"/>
      <c r="EXK122" s="69"/>
      <c r="EXL122" s="69"/>
      <c r="EXM122" s="69"/>
      <c r="EXN122" s="69"/>
      <c r="EXO122" s="69"/>
      <c r="EXP122" s="69"/>
      <c r="EXQ122" s="69"/>
      <c r="EXR122" s="69"/>
      <c r="EXS122" s="69"/>
      <c r="EXT122" s="69"/>
      <c r="EXU122" s="69"/>
      <c r="EXV122" s="69"/>
      <c r="EXW122" s="69"/>
      <c r="EXX122" s="69"/>
      <c r="EXY122" s="69"/>
      <c r="EXZ122" s="69"/>
      <c r="EYA122" s="69"/>
      <c r="EYB122" s="69"/>
      <c r="EYC122" s="69"/>
      <c r="EYD122" s="69"/>
      <c r="EYE122" s="69"/>
      <c r="EYF122" s="69"/>
      <c r="EYG122" s="69"/>
      <c r="EYH122" s="69"/>
      <c r="EYI122" s="69"/>
      <c r="EYJ122" s="69"/>
      <c r="EYK122" s="69"/>
      <c r="EYL122" s="69"/>
      <c r="EYM122" s="69"/>
      <c r="EYN122" s="69"/>
      <c r="EYO122" s="69"/>
      <c r="EYP122" s="69"/>
      <c r="EYQ122" s="69"/>
      <c r="EYR122" s="69"/>
      <c r="EYS122" s="69"/>
      <c r="EYT122" s="69"/>
      <c r="EYU122" s="69"/>
      <c r="EYV122" s="69"/>
      <c r="EYW122" s="69"/>
      <c r="EYX122" s="69"/>
      <c r="EYY122" s="69"/>
      <c r="EYZ122" s="69"/>
      <c r="EZA122" s="69"/>
      <c r="EZB122" s="69"/>
      <c r="EZC122" s="69"/>
      <c r="EZD122" s="69"/>
      <c r="EZE122" s="69"/>
      <c r="EZF122" s="69"/>
      <c r="EZG122" s="69"/>
      <c r="EZH122" s="69"/>
      <c r="EZI122" s="69"/>
      <c r="EZJ122" s="69"/>
      <c r="EZK122" s="69"/>
      <c r="EZL122" s="69"/>
      <c r="EZM122" s="69"/>
      <c r="EZN122" s="69"/>
      <c r="EZO122" s="69"/>
      <c r="EZP122" s="69"/>
      <c r="EZQ122" s="69"/>
      <c r="EZR122" s="69"/>
      <c r="EZS122" s="69"/>
      <c r="EZT122" s="69"/>
      <c r="EZU122" s="69"/>
      <c r="EZV122" s="69"/>
      <c r="EZW122" s="69"/>
      <c r="EZX122" s="69"/>
      <c r="EZY122" s="69"/>
      <c r="EZZ122" s="69"/>
      <c r="FAA122" s="69"/>
      <c r="FAB122" s="69"/>
      <c r="FAC122" s="69"/>
      <c r="FAD122" s="69"/>
      <c r="FAE122" s="69"/>
      <c r="FAF122" s="69"/>
      <c r="FAG122" s="69"/>
      <c r="FAH122" s="69"/>
      <c r="FAI122" s="69"/>
      <c r="FAJ122" s="69"/>
      <c r="FAK122" s="69"/>
      <c r="FAL122" s="69"/>
      <c r="FAM122" s="69"/>
      <c r="FAN122" s="69"/>
      <c r="FAO122" s="69"/>
      <c r="FAP122" s="69"/>
      <c r="FAQ122" s="69"/>
      <c r="FAR122" s="69"/>
      <c r="FAS122" s="69"/>
      <c r="FAT122" s="69"/>
      <c r="FAU122" s="69"/>
      <c r="FAV122" s="69"/>
      <c r="FAW122" s="69"/>
      <c r="FAX122" s="69"/>
      <c r="FAY122" s="69"/>
      <c r="FAZ122" s="69"/>
      <c r="FBA122" s="69"/>
      <c r="FBB122" s="69"/>
      <c r="FBC122" s="69"/>
      <c r="FBD122" s="69"/>
      <c r="FBE122" s="69"/>
      <c r="FBF122" s="69"/>
      <c r="FBG122" s="69"/>
      <c r="FBH122" s="69"/>
      <c r="FBI122" s="69"/>
      <c r="FBJ122" s="69"/>
      <c r="FBK122" s="69"/>
      <c r="FBL122" s="69"/>
      <c r="FBM122" s="69"/>
      <c r="FBN122" s="69"/>
      <c r="FBO122" s="69"/>
      <c r="FBP122" s="69"/>
      <c r="FBQ122" s="69"/>
      <c r="FBR122" s="69"/>
      <c r="FBS122" s="69"/>
      <c r="FBT122" s="69"/>
      <c r="FBU122" s="69"/>
      <c r="FBV122" s="69"/>
      <c r="FBW122" s="69"/>
      <c r="FBX122" s="69"/>
      <c r="FBY122" s="69"/>
      <c r="FBZ122" s="69"/>
      <c r="FCA122" s="69"/>
      <c r="FCB122" s="69"/>
      <c r="FCC122" s="69"/>
      <c r="FCD122" s="69"/>
      <c r="FCE122" s="69"/>
      <c r="FCF122" s="69"/>
      <c r="FCG122" s="69"/>
      <c r="FCH122" s="69"/>
      <c r="FCI122" s="69"/>
      <c r="FCJ122" s="69"/>
      <c r="FCK122" s="69"/>
      <c r="FCL122" s="69"/>
      <c r="FCM122" s="69"/>
      <c r="FCN122" s="69"/>
      <c r="FCO122" s="69"/>
      <c r="FCP122" s="69"/>
      <c r="FCQ122" s="69"/>
      <c r="FCR122" s="69"/>
      <c r="FCS122" s="69"/>
      <c r="FCT122" s="69"/>
      <c r="FCU122" s="69"/>
      <c r="FCV122" s="69"/>
      <c r="FCW122" s="69"/>
      <c r="FCX122" s="69"/>
      <c r="FCY122" s="69"/>
      <c r="FCZ122" s="69"/>
      <c r="FDA122" s="69"/>
      <c r="FDB122" s="69"/>
      <c r="FDC122" s="69"/>
      <c r="FDD122" s="69"/>
      <c r="FDE122" s="69"/>
      <c r="FDF122" s="69"/>
      <c r="FDG122" s="69"/>
      <c r="FDH122" s="69"/>
      <c r="FDI122" s="69"/>
      <c r="FDJ122" s="69"/>
      <c r="FDK122" s="69"/>
      <c r="FDL122" s="69"/>
      <c r="FDM122" s="69"/>
      <c r="FDN122" s="69"/>
      <c r="FDO122" s="69"/>
      <c r="FDP122" s="69"/>
      <c r="FDQ122" s="69"/>
      <c r="FDR122" s="69"/>
      <c r="FDS122" s="69"/>
      <c r="FDT122" s="69"/>
      <c r="FDU122" s="69"/>
      <c r="FDV122" s="69"/>
      <c r="FDW122" s="69"/>
      <c r="FDX122" s="69"/>
      <c r="FDY122" s="69"/>
      <c r="FDZ122" s="69"/>
      <c r="FEA122" s="69"/>
      <c r="FEB122" s="69"/>
      <c r="FEC122" s="69"/>
      <c r="FED122" s="69"/>
      <c r="FEE122" s="69"/>
      <c r="FEF122" s="69"/>
      <c r="FEG122" s="69"/>
      <c r="FEH122" s="69"/>
      <c r="FEI122" s="69"/>
      <c r="FEJ122" s="69"/>
      <c r="FEK122" s="69"/>
      <c r="FEL122" s="69"/>
      <c r="FEM122" s="69"/>
      <c r="FEN122" s="69"/>
      <c r="FEO122" s="69"/>
      <c r="FEP122" s="69"/>
      <c r="FEQ122" s="69"/>
      <c r="FER122" s="69"/>
      <c r="FES122" s="69"/>
      <c r="FET122" s="69"/>
      <c r="FEU122" s="69"/>
      <c r="FEV122" s="69"/>
      <c r="FEW122" s="69"/>
      <c r="FEX122" s="69"/>
      <c r="FEY122" s="69"/>
      <c r="FEZ122" s="69"/>
      <c r="FFA122" s="69"/>
      <c r="FFB122" s="69"/>
      <c r="FFC122" s="69"/>
      <c r="FFD122" s="69"/>
      <c r="FFE122" s="69"/>
      <c r="FFF122" s="69"/>
      <c r="FFG122" s="69"/>
      <c r="FFH122" s="69"/>
      <c r="FFI122" s="69"/>
      <c r="FFJ122" s="69"/>
      <c r="FFK122" s="69"/>
      <c r="FFL122" s="69"/>
      <c r="FFM122" s="69"/>
      <c r="FFN122" s="69"/>
      <c r="FFO122" s="69"/>
      <c r="FFP122" s="69"/>
      <c r="FFQ122" s="69"/>
      <c r="FFR122" s="69"/>
      <c r="FFS122" s="69"/>
      <c r="FFT122" s="69"/>
      <c r="FFU122" s="69"/>
      <c r="FFV122" s="69"/>
      <c r="FFW122" s="69"/>
      <c r="FFX122" s="69"/>
      <c r="FFY122" s="69"/>
      <c r="FFZ122" s="69"/>
      <c r="FGA122" s="69"/>
      <c r="FGB122" s="69"/>
      <c r="FGC122" s="69"/>
      <c r="FGD122" s="69"/>
      <c r="FGE122" s="69"/>
      <c r="FGF122" s="69"/>
      <c r="FGG122" s="69"/>
      <c r="FGH122" s="69"/>
      <c r="FGI122" s="69"/>
      <c r="FGJ122" s="69"/>
      <c r="FGK122" s="69"/>
      <c r="FGL122" s="69"/>
      <c r="FGM122" s="69"/>
      <c r="FGN122" s="69"/>
      <c r="FGO122" s="69"/>
      <c r="FGP122" s="69"/>
      <c r="FGQ122" s="69"/>
      <c r="FGR122" s="69"/>
      <c r="FGS122" s="69"/>
      <c r="FGT122" s="69"/>
      <c r="FGU122" s="69"/>
      <c r="FGV122" s="69"/>
      <c r="FGW122" s="69"/>
      <c r="FGX122" s="69"/>
      <c r="FGY122" s="69"/>
      <c r="FGZ122" s="69"/>
      <c r="FHA122" s="69"/>
      <c r="FHB122" s="69"/>
      <c r="FHC122" s="69"/>
      <c r="FHD122" s="69"/>
      <c r="FHE122" s="69"/>
      <c r="FHF122" s="69"/>
      <c r="FHG122" s="69"/>
      <c r="FHH122" s="69"/>
      <c r="FHI122" s="69"/>
      <c r="FHJ122" s="69"/>
      <c r="FHK122" s="69"/>
      <c r="FHL122" s="69"/>
      <c r="FHM122" s="69"/>
      <c r="FHN122" s="69"/>
      <c r="FHO122" s="69"/>
      <c r="FHP122" s="69"/>
      <c r="FHQ122" s="69"/>
      <c r="FHR122" s="69"/>
      <c r="FHS122" s="69"/>
      <c r="FHT122" s="69"/>
      <c r="FHU122" s="69"/>
      <c r="FHV122" s="69"/>
      <c r="FHW122" s="69"/>
      <c r="FHX122" s="69"/>
      <c r="FHY122" s="69"/>
      <c r="FHZ122" s="69"/>
      <c r="FIA122" s="69"/>
      <c r="FIB122" s="69"/>
      <c r="FIC122" s="69"/>
      <c r="FID122" s="69"/>
      <c r="FIE122" s="69"/>
      <c r="FIF122" s="69"/>
      <c r="FIG122" s="69"/>
      <c r="FIH122" s="69"/>
      <c r="FII122" s="69"/>
      <c r="FIJ122" s="69"/>
      <c r="FIK122" s="69"/>
      <c r="FIL122" s="69"/>
      <c r="FIM122" s="69"/>
      <c r="FIN122" s="69"/>
      <c r="FIO122" s="69"/>
      <c r="FIP122" s="69"/>
      <c r="FIQ122" s="69"/>
      <c r="FIR122" s="69"/>
      <c r="FIS122" s="69"/>
      <c r="FIT122" s="69"/>
      <c r="FIU122" s="69"/>
      <c r="FIV122" s="69"/>
      <c r="FIW122" s="69"/>
      <c r="FIX122" s="69"/>
      <c r="FIY122" s="69"/>
      <c r="FIZ122" s="69"/>
      <c r="FJA122" s="69"/>
      <c r="FJB122" s="69"/>
      <c r="FJC122" s="69"/>
      <c r="FJD122" s="69"/>
      <c r="FJE122" s="69"/>
      <c r="FJF122" s="69"/>
      <c r="FJG122" s="69"/>
      <c r="FJH122" s="69"/>
      <c r="FJI122" s="69"/>
      <c r="FJJ122" s="69"/>
      <c r="FJK122" s="69"/>
      <c r="FJL122" s="69"/>
      <c r="FJM122" s="69"/>
      <c r="FJN122" s="69"/>
      <c r="FJO122" s="69"/>
      <c r="FJP122" s="69"/>
      <c r="FJQ122" s="69"/>
      <c r="FJR122" s="69"/>
      <c r="FJS122" s="69"/>
      <c r="FJT122" s="69"/>
      <c r="FJU122" s="69"/>
      <c r="FJV122" s="69"/>
      <c r="FJW122" s="69"/>
      <c r="FJX122" s="69"/>
      <c r="FJY122" s="69"/>
      <c r="FJZ122" s="69"/>
      <c r="FKA122" s="69"/>
      <c r="FKB122" s="69"/>
      <c r="FKC122" s="69"/>
      <c r="FKD122" s="69"/>
      <c r="FKE122" s="69"/>
      <c r="FKF122" s="69"/>
      <c r="FKG122" s="69"/>
      <c r="FKH122" s="69"/>
      <c r="FKI122" s="69"/>
      <c r="FKJ122" s="69"/>
      <c r="FKK122" s="69"/>
      <c r="FKL122" s="69"/>
      <c r="FKM122" s="69"/>
      <c r="FKN122" s="69"/>
      <c r="FKO122" s="69"/>
      <c r="FKP122" s="69"/>
      <c r="FKQ122" s="69"/>
      <c r="FKR122" s="69"/>
      <c r="FKS122" s="69"/>
      <c r="FKT122" s="69"/>
      <c r="FKU122" s="69"/>
      <c r="FKV122" s="69"/>
      <c r="FKW122" s="69"/>
      <c r="FKX122" s="69"/>
      <c r="FKY122" s="69"/>
      <c r="FKZ122" s="69"/>
      <c r="FLA122" s="69"/>
      <c r="FLB122" s="69"/>
      <c r="FLC122" s="69"/>
      <c r="FLD122" s="69"/>
      <c r="FLE122" s="69"/>
      <c r="FLF122" s="69"/>
      <c r="FLG122" s="69"/>
      <c r="FLH122" s="69"/>
      <c r="FLI122" s="69"/>
      <c r="FLJ122" s="69"/>
      <c r="FLK122" s="69"/>
      <c r="FLL122" s="69"/>
      <c r="FLM122" s="69"/>
      <c r="FLN122" s="69"/>
      <c r="FLO122" s="69"/>
      <c r="FLP122" s="69"/>
      <c r="FLQ122" s="69"/>
      <c r="FLR122" s="69"/>
      <c r="FLS122" s="69"/>
      <c r="FLT122" s="69"/>
      <c r="FLU122" s="69"/>
      <c r="FLV122" s="69"/>
      <c r="FLW122" s="69"/>
      <c r="FLX122" s="69"/>
      <c r="FLY122" s="69"/>
      <c r="FLZ122" s="69"/>
      <c r="FMA122" s="69"/>
      <c r="FMB122" s="69"/>
      <c r="FMC122" s="69"/>
      <c r="FMD122" s="69"/>
      <c r="FME122" s="69"/>
      <c r="FMF122" s="69"/>
      <c r="FMG122" s="69"/>
      <c r="FMH122" s="69"/>
      <c r="FMI122" s="69"/>
      <c r="FMJ122" s="69"/>
      <c r="FMK122" s="69"/>
      <c r="FML122" s="69"/>
      <c r="FMM122" s="69"/>
      <c r="FMN122" s="69"/>
      <c r="FMO122" s="69"/>
      <c r="FMP122" s="69"/>
      <c r="FMQ122" s="69"/>
      <c r="FMR122" s="69"/>
      <c r="FMS122" s="69"/>
      <c r="FMT122" s="69"/>
      <c r="FMU122" s="69"/>
      <c r="FMV122" s="69"/>
      <c r="FMW122" s="69"/>
      <c r="FMX122" s="69"/>
      <c r="FMY122" s="69"/>
      <c r="FMZ122" s="69"/>
      <c r="FNA122" s="69"/>
      <c r="FNB122" s="69"/>
      <c r="FNC122" s="69"/>
      <c r="FND122" s="69"/>
      <c r="FNE122" s="69"/>
      <c r="FNF122" s="69"/>
      <c r="FNG122" s="69"/>
      <c r="FNH122" s="69"/>
      <c r="FNI122" s="69"/>
      <c r="FNJ122" s="69"/>
      <c r="FNK122" s="69"/>
      <c r="FNL122" s="69"/>
      <c r="FNM122" s="69"/>
      <c r="FNN122" s="69"/>
      <c r="FNO122" s="69"/>
      <c r="FNP122" s="69"/>
      <c r="FNQ122" s="69"/>
      <c r="FNR122" s="69"/>
      <c r="FNS122" s="69"/>
      <c r="FNT122" s="69"/>
      <c r="FNU122" s="69"/>
      <c r="FNV122" s="69"/>
      <c r="FNW122" s="69"/>
      <c r="FNX122" s="69"/>
      <c r="FNY122" s="69"/>
      <c r="FNZ122" s="69"/>
      <c r="FOA122" s="69"/>
      <c r="FOB122" s="69"/>
      <c r="FOC122" s="69"/>
      <c r="FOD122" s="69"/>
      <c r="FOE122" s="69"/>
      <c r="FOF122" s="69"/>
      <c r="FOG122" s="69"/>
      <c r="FOH122" s="69"/>
      <c r="FOI122" s="69"/>
      <c r="FOJ122" s="69"/>
      <c r="FOK122" s="69"/>
      <c r="FOL122" s="69"/>
      <c r="FOM122" s="69"/>
      <c r="FON122" s="69"/>
      <c r="FOO122" s="69"/>
      <c r="FOP122" s="69"/>
      <c r="FOQ122" s="69"/>
      <c r="FOR122" s="69"/>
      <c r="FOS122" s="69"/>
      <c r="FOT122" s="69"/>
      <c r="FOU122" s="69"/>
      <c r="FOV122" s="69"/>
      <c r="FOW122" s="69"/>
      <c r="FOX122" s="69"/>
      <c r="FOY122" s="69"/>
      <c r="FOZ122" s="69"/>
      <c r="FPA122" s="69"/>
      <c r="FPB122" s="69"/>
      <c r="FPC122" s="69"/>
      <c r="FPD122" s="69"/>
      <c r="FPE122" s="69"/>
      <c r="FPF122" s="69"/>
      <c r="FPG122" s="69"/>
      <c r="FPH122" s="69"/>
      <c r="FPI122" s="69"/>
      <c r="FPJ122" s="69"/>
      <c r="FPK122" s="69"/>
      <c r="FPL122" s="69"/>
      <c r="FPM122" s="69"/>
      <c r="FPN122" s="69"/>
      <c r="FPO122" s="69"/>
      <c r="FPP122" s="69"/>
      <c r="FPQ122" s="69"/>
      <c r="FPR122" s="69"/>
      <c r="FPS122" s="69"/>
      <c r="FPT122" s="69"/>
      <c r="FPU122" s="69"/>
      <c r="FPV122" s="69"/>
      <c r="FPW122" s="69"/>
      <c r="FPX122" s="69"/>
      <c r="FPY122" s="69"/>
      <c r="FPZ122" s="69"/>
      <c r="FQA122" s="69"/>
      <c r="FQB122" s="69"/>
      <c r="FQC122" s="69"/>
      <c r="FQD122" s="69"/>
      <c r="FQE122" s="69"/>
      <c r="FQF122" s="69"/>
      <c r="FQG122" s="69"/>
      <c r="FQH122" s="69"/>
      <c r="FQI122" s="69"/>
      <c r="FQJ122" s="69"/>
      <c r="FQK122" s="69"/>
      <c r="FQL122" s="69"/>
      <c r="FQM122" s="69"/>
      <c r="FQN122" s="69"/>
      <c r="FQO122" s="69"/>
      <c r="FQP122" s="69"/>
      <c r="FQQ122" s="69"/>
      <c r="FQR122" s="69"/>
      <c r="FQS122" s="69"/>
      <c r="FQT122" s="69"/>
      <c r="FQU122" s="69"/>
      <c r="FQV122" s="69"/>
      <c r="FQW122" s="69"/>
      <c r="FQX122" s="69"/>
      <c r="FQY122" s="69"/>
      <c r="FQZ122" s="69"/>
      <c r="FRA122" s="69"/>
      <c r="FRB122" s="69"/>
      <c r="FRC122" s="69"/>
      <c r="FRD122" s="69"/>
      <c r="FRE122" s="69"/>
      <c r="FRF122" s="69"/>
      <c r="FRG122" s="69"/>
      <c r="FRH122" s="69"/>
      <c r="FRI122" s="69"/>
      <c r="FRJ122" s="69"/>
      <c r="FRK122" s="69"/>
      <c r="FRL122" s="69"/>
      <c r="FRM122" s="69"/>
      <c r="FRN122" s="69"/>
      <c r="FRO122" s="69"/>
      <c r="FRP122" s="69"/>
      <c r="FRQ122" s="69"/>
      <c r="FRR122" s="69"/>
      <c r="FRS122" s="69"/>
      <c r="FRT122" s="69"/>
      <c r="FRU122" s="69"/>
      <c r="FRV122" s="69"/>
      <c r="FRW122" s="69"/>
      <c r="FRX122" s="69"/>
      <c r="FRY122" s="69"/>
      <c r="FRZ122" s="69"/>
      <c r="FSA122" s="69"/>
      <c r="FSB122" s="69"/>
      <c r="FSC122" s="69"/>
      <c r="FSD122" s="69"/>
      <c r="FSE122" s="69"/>
      <c r="FSF122" s="69"/>
      <c r="FSG122" s="69"/>
      <c r="FSH122" s="69"/>
      <c r="FSI122" s="69"/>
      <c r="FSJ122" s="69"/>
      <c r="FSK122" s="69"/>
      <c r="FSL122" s="69"/>
      <c r="FSM122" s="69"/>
      <c r="FSN122" s="69"/>
      <c r="FSO122" s="69"/>
      <c r="FSP122" s="69"/>
      <c r="FSQ122" s="69"/>
      <c r="FSR122" s="69"/>
      <c r="FSS122" s="69"/>
      <c r="FST122" s="69"/>
      <c r="FSU122" s="69"/>
      <c r="FSV122" s="69"/>
      <c r="FSW122" s="69"/>
      <c r="FSX122" s="69"/>
      <c r="FSY122" s="69"/>
      <c r="FSZ122" s="69"/>
      <c r="FTA122" s="69"/>
      <c r="FTB122" s="69"/>
      <c r="FTC122" s="69"/>
      <c r="FTD122" s="69"/>
      <c r="FTE122" s="69"/>
      <c r="FTF122" s="69"/>
      <c r="FTG122" s="69"/>
      <c r="FTH122" s="69"/>
      <c r="FTI122" s="69"/>
      <c r="FTJ122" s="69"/>
      <c r="FTK122" s="69"/>
      <c r="FTL122" s="69"/>
      <c r="FTM122" s="69"/>
      <c r="FTN122" s="69"/>
      <c r="FTO122" s="69"/>
      <c r="FTP122" s="69"/>
      <c r="FTQ122" s="69"/>
      <c r="FTR122" s="69"/>
      <c r="FTS122" s="69"/>
      <c r="FTT122" s="69"/>
      <c r="FTU122" s="69"/>
      <c r="FTV122" s="69"/>
      <c r="FTW122" s="69"/>
      <c r="FTX122" s="69"/>
      <c r="FTY122" s="69"/>
      <c r="FTZ122" s="69"/>
      <c r="FUA122" s="69"/>
      <c r="FUB122" s="69"/>
      <c r="FUC122" s="69"/>
      <c r="FUD122" s="69"/>
      <c r="FUE122" s="69"/>
      <c r="FUF122" s="69"/>
      <c r="FUG122" s="69"/>
      <c r="FUH122" s="69"/>
      <c r="FUI122" s="69"/>
      <c r="FUJ122" s="69"/>
      <c r="FUK122" s="69"/>
      <c r="FUL122" s="69"/>
      <c r="FUM122" s="69"/>
      <c r="FUN122" s="69"/>
      <c r="FUO122" s="69"/>
      <c r="FUP122" s="69"/>
      <c r="FUQ122" s="69"/>
      <c r="FUR122" s="69"/>
      <c r="FUS122" s="69"/>
      <c r="FUT122" s="69"/>
      <c r="FUU122" s="69"/>
      <c r="FUV122" s="69"/>
      <c r="FUW122" s="69"/>
      <c r="FUX122" s="69"/>
      <c r="FUY122" s="69"/>
      <c r="FUZ122" s="69"/>
      <c r="FVA122" s="69"/>
      <c r="FVB122" s="69"/>
      <c r="FVC122" s="69"/>
      <c r="FVD122" s="69"/>
      <c r="FVE122" s="69"/>
      <c r="FVF122" s="69"/>
      <c r="FVG122" s="69"/>
      <c r="FVH122" s="69"/>
      <c r="FVI122" s="69"/>
      <c r="FVJ122" s="69"/>
      <c r="FVK122" s="69"/>
      <c r="FVL122" s="69"/>
      <c r="FVM122" s="69"/>
      <c r="FVN122" s="69"/>
      <c r="FVO122" s="69"/>
      <c r="FVP122" s="69"/>
      <c r="FVQ122" s="69"/>
      <c r="FVR122" s="69"/>
      <c r="FVS122" s="69"/>
      <c r="FVT122" s="69"/>
      <c r="FVU122" s="69"/>
      <c r="FVV122" s="69"/>
      <c r="FVW122" s="69"/>
      <c r="FVX122" s="69"/>
      <c r="FVY122" s="69"/>
      <c r="FVZ122" s="69"/>
      <c r="FWA122" s="69"/>
      <c r="FWB122" s="69"/>
      <c r="FWC122" s="69"/>
      <c r="FWD122" s="69"/>
      <c r="FWE122" s="69"/>
      <c r="FWF122" s="69"/>
      <c r="FWG122" s="69"/>
      <c r="FWH122" s="69"/>
      <c r="FWI122" s="69"/>
      <c r="FWJ122" s="69"/>
      <c r="FWK122" s="69"/>
      <c r="FWL122" s="69"/>
      <c r="FWM122" s="69"/>
      <c r="FWN122" s="69"/>
      <c r="FWO122" s="69"/>
      <c r="FWP122" s="69"/>
      <c r="FWQ122" s="69"/>
      <c r="FWR122" s="69"/>
      <c r="FWS122" s="69"/>
      <c r="FWT122" s="69"/>
      <c r="FWU122" s="69"/>
      <c r="FWV122" s="69"/>
      <c r="FWW122" s="69"/>
      <c r="FWX122" s="69"/>
      <c r="FWY122" s="69"/>
      <c r="FWZ122" s="69"/>
      <c r="FXA122" s="69"/>
      <c r="FXB122" s="69"/>
      <c r="FXC122" s="69"/>
      <c r="FXD122" s="69"/>
      <c r="FXE122" s="69"/>
      <c r="FXF122" s="69"/>
      <c r="FXG122" s="69"/>
      <c r="FXH122" s="69"/>
      <c r="FXI122" s="69"/>
      <c r="FXJ122" s="69"/>
      <c r="FXK122" s="69"/>
      <c r="FXL122" s="69"/>
      <c r="FXM122" s="69"/>
      <c r="FXN122" s="69"/>
      <c r="FXO122" s="69"/>
      <c r="FXP122" s="69"/>
      <c r="FXQ122" s="69"/>
      <c r="FXR122" s="69"/>
      <c r="FXS122" s="69"/>
      <c r="FXT122" s="69"/>
      <c r="FXU122" s="69"/>
      <c r="FXV122" s="69"/>
      <c r="FXW122" s="69"/>
      <c r="FXX122" s="69"/>
      <c r="FXY122" s="69"/>
      <c r="FXZ122" s="69"/>
      <c r="FYA122" s="69"/>
      <c r="FYB122" s="69"/>
      <c r="FYC122" s="69"/>
      <c r="FYD122" s="69"/>
      <c r="FYE122" s="69"/>
      <c r="FYF122" s="69"/>
      <c r="FYG122" s="69"/>
      <c r="FYH122" s="69"/>
      <c r="FYI122" s="69"/>
      <c r="FYJ122" s="69"/>
      <c r="FYK122" s="69"/>
      <c r="FYL122" s="69"/>
      <c r="FYM122" s="69"/>
      <c r="FYN122" s="69"/>
      <c r="FYO122" s="69"/>
      <c r="FYP122" s="69"/>
      <c r="FYQ122" s="69"/>
      <c r="FYR122" s="69"/>
      <c r="FYS122" s="69"/>
      <c r="FYT122" s="69"/>
      <c r="FYU122" s="69"/>
      <c r="FYV122" s="69"/>
      <c r="FYW122" s="69"/>
      <c r="FYX122" s="69"/>
      <c r="FYY122" s="69"/>
      <c r="FYZ122" s="69"/>
      <c r="FZA122" s="69"/>
      <c r="FZB122" s="69"/>
      <c r="FZC122" s="69"/>
      <c r="FZD122" s="69"/>
      <c r="FZE122" s="69"/>
      <c r="FZF122" s="69"/>
      <c r="FZG122" s="69"/>
      <c r="FZH122" s="69"/>
      <c r="FZI122" s="69"/>
      <c r="FZJ122" s="69"/>
      <c r="FZK122" s="69"/>
      <c r="FZL122" s="69"/>
      <c r="FZM122" s="69"/>
      <c r="FZN122" s="69"/>
      <c r="FZO122" s="69"/>
      <c r="FZP122" s="69"/>
      <c r="FZQ122" s="69"/>
      <c r="FZR122" s="69"/>
      <c r="FZS122" s="69"/>
      <c r="FZT122" s="69"/>
      <c r="FZU122" s="69"/>
      <c r="FZV122" s="69"/>
      <c r="FZW122" s="69"/>
      <c r="FZX122" s="69"/>
      <c r="FZY122" s="69"/>
      <c r="FZZ122" s="69"/>
      <c r="GAA122" s="69"/>
      <c r="GAB122" s="69"/>
      <c r="GAC122" s="69"/>
      <c r="GAD122" s="69"/>
      <c r="GAE122" s="69"/>
      <c r="GAF122" s="69"/>
      <c r="GAG122" s="69"/>
      <c r="GAH122" s="69"/>
      <c r="GAI122" s="69"/>
      <c r="GAJ122" s="69"/>
      <c r="GAK122" s="69"/>
      <c r="GAL122" s="69"/>
      <c r="GAM122" s="69"/>
      <c r="GAN122" s="69"/>
      <c r="GAO122" s="69"/>
      <c r="GAP122" s="69"/>
      <c r="GAQ122" s="69"/>
      <c r="GAR122" s="69"/>
      <c r="GAS122" s="69"/>
      <c r="GAT122" s="69"/>
      <c r="GAU122" s="69"/>
      <c r="GAV122" s="69"/>
      <c r="GAW122" s="69"/>
      <c r="GAX122" s="69"/>
      <c r="GAY122" s="69"/>
      <c r="GAZ122" s="69"/>
      <c r="GBA122" s="69"/>
      <c r="GBB122" s="69"/>
      <c r="GBC122" s="69"/>
      <c r="GBD122" s="69"/>
      <c r="GBE122" s="69"/>
      <c r="GBF122" s="69"/>
      <c r="GBG122" s="69"/>
      <c r="GBH122" s="69"/>
      <c r="GBI122" s="69"/>
      <c r="GBJ122" s="69"/>
      <c r="GBK122" s="69"/>
      <c r="GBL122" s="69"/>
      <c r="GBM122" s="69"/>
      <c r="GBN122" s="69"/>
      <c r="GBO122" s="69"/>
      <c r="GBP122" s="69"/>
      <c r="GBQ122" s="69"/>
      <c r="GBR122" s="69"/>
      <c r="GBS122" s="69"/>
      <c r="GBT122" s="69"/>
      <c r="GBU122" s="69"/>
      <c r="GBV122" s="69"/>
      <c r="GBW122" s="69"/>
      <c r="GBX122" s="69"/>
      <c r="GBY122" s="69"/>
      <c r="GBZ122" s="69"/>
      <c r="GCA122" s="69"/>
      <c r="GCB122" s="69"/>
      <c r="GCC122" s="69"/>
      <c r="GCD122" s="69"/>
      <c r="GCE122" s="69"/>
      <c r="GCF122" s="69"/>
      <c r="GCG122" s="69"/>
      <c r="GCH122" s="69"/>
      <c r="GCI122" s="69"/>
      <c r="GCJ122" s="69"/>
      <c r="GCK122" s="69"/>
      <c r="GCL122" s="69"/>
      <c r="GCM122" s="69"/>
      <c r="GCN122" s="69"/>
      <c r="GCO122" s="69"/>
      <c r="GCP122" s="69"/>
      <c r="GCQ122" s="69"/>
      <c r="GCR122" s="69"/>
      <c r="GCS122" s="69"/>
      <c r="GCT122" s="69"/>
      <c r="GCU122" s="69"/>
      <c r="GCV122" s="69"/>
      <c r="GCW122" s="69"/>
      <c r="GCX122" s="69"/>
      <c r="GCY122" s="69"/>
      <c r="GCZ122" s="69"/>
      <c r="GDA122" s="69"/>
      <c r="GDB122" s="69"/>
      <c r="GDC122" s="69"/>
      <c r="GDD122" s="69"/>
      <c r="GDE122" s="69"/>
      <c r="GDF122" s="69"/>
      <c r="GDG122" s="69"/>
      <c r="GDH122" s="69"/>
      <c r="GDI122" s="69"/>
      <c r="GDJ122" s="69"/>
      <c r="GDK122" s="69"/>
      <c r="GDL122" s="69"/>
      <c r="GDM122" s="69"/>
      <c r="GDN122" s="69"/>
      <c r="GDO122" s="69"/>
      <c r="GDP122" s="69"/>
      <c r="GDQ122" s="69"/>
      <c r="GDR122" s="69"/>
      <c r="GDS122" s="69"/>
      <c r="GDT122" s="69"/>
      <c r="GDU122" s="69"/>
      <c r="GDV122" s="69"/>
      <c r="GDW122" s="69"/>
      <c r="GDX122" s="69"/>
      <c r="GDY122" s="69"/>
      <c r="GDZ122" s="69"/>
      <c r="GEA122" s="69"/>
      <c r="GEB122" s="69"/>
      <c r="GEC122" s="69"/>
      <c r="GED122" s="69"/>
      <c r="GEE122" s="69"/>
      <c r="GEF122" s="69"/>
      <c r="GEG122" s="69"/>
      <c r="GEH122" s="69"/>
      <c r="GEI122" s="69"/>
      <c r="GEJ122" s="69"/>
      <c r="GEK122" s="69"/>
      <c r="GEL122" s="69"/>
      <c r="GEM122" s="69"/>
      <c r="GEN122" s="69"/>
      <c r="GEO122" s="69"/>
      <c r="GEP122" s="69"/>
      <c r="GEQ122" s="69"/>
      <c r="GER122" s="69"/>
      <c r="GES122" s="69"/>
      <c r="GET122" s="69"/>
      <c r="GEU122" s="69"/>
      <c r="GEV122" s="69"/>
      <c r="GEW122" s="69"/>
      <c r="GEX122" s="69"/>
      <c r="GEY122" s="69"/>
      <c r="GEZ122" s="69"/>
      <c r="GFA122" s="69"/>
      <c r="GFB122" s="69"/>
      <c r="GFC122" s="69"/>
      <c r="GFD122" s="69"/>
      <c r="GFE122" s="69"/>
      <c r="GFF122" s="69"/>
      <c r="GFG122" s="69"/>
      <c r="GFH122" s="69"/>
      <c r="GFI122" s="69"/>
      <c r="GFJ122" s="69"/>
      <c r="GFK122" s="69"/>
      <c r="GFL122" s="69"/>
      <c r="GFM122" s="69"/>
      <c r="GFN122" s="69"/>
      <c r="GFO122" s="69"/>
      <c r="GFP122" s="69"/>
      <c r="GFQ122" s="69"/>
      <c r="GFR122" s="69"/>
      <c r="GFS122" s="69"/>
      <c r="GFT122" s="69"/>
      <c r="GFU122" s="69"/>
      <c r="GFV122" s="69"/>
      <c r="GFW122" s="69"/>
      <c r="GFX122" s="69"/>
      <c r="GFY122" s="69"/>
      <c r="GFZ122" s="69"/>
      <c r="GGA122" s="69"/>
      <c r="GGB122" s="69"/>
      <c r="GGC122" s="69"/>
      <c r="GGD122" s="69"/>
      <c r="GGE122" s="69"/>
      <c r="GGF122" s="69"/>
      <c r="GGG122" s="69"/>
      <c r="GGH122" s="69"/>
      <c r="GGI122" s="69"/>
      <c r="GGJ122" s="69"/>
      <c r="GGK122" s="69"/>
      <c r="GGL122" s="69"/>
      <c r="GGM122" s="69"/>
      <c r="GGN122" s="69"/>
      <c r="GGO122" s="69"/>
      <c r="GGP122" s="69"/>
      <c r="GGQ122" s="69"/>
      <c r="GGR122" s="69"/>
      <c r="GGS122" s="69"/>
      <c r="GGT122" s="69"/>
      <c r="GGU122" s="69"/>
      <c r="GGV122" s="69"/>
      <c r="GGW122" s="69"/>
      <c r="GGX122" s="69"/>
      <c r="GGY122" s="69"/>
      <c r="GGZ122" s="69"/>
      <c r="GHA122" s="69"/>
      <c r="GHB122" s="69"/>
      <c r="GHC122" s="69"/>
      <c r="GHD122" s="69"/>
      <c r="GHE122" s="69"/>
      <c r="GHF122" s="69"/>
      <c r="GHG122" s="69"/>
      <c r="GHH122" s="69"/>
      <c r="GHI122" s="69"/>
      <c r="GHJ122" s="69"/>
      <c r="GHK122" s="69"/>
      <c r="GHL122" s="69"/>
      <c r="GHM122" s="69"/>
      <c r="GHN122" s="69"/>
      <c r="GHO122" s="69"/>
      <c r="GHP122" s="69"/>
      <c r="GHQ122" s="69"/>
      <c r="GHR122" s="69"/>
      <c r="GHS122" s="69"/>
      <c r="GHT122" s="69"/>
      <c r="GHU122" s="69"/>
      <c r="GHV122" s="69"/>
      <c r="GHW122" s="69"/>
      <c r="GHX122" s="69"/>
      <c r="GHY122" s="69"/>
      <c r="GHZ122" s="69"/>
      <c r="GIA122" s="69"/>
      <c r="GIB122" s="69"/>
      <c r="GIC122" s="69"/>
      <c r="GID122" s="69"/>
      <c r="GIE122" s="69"/>
      <c r="GIF122" s="69"/>
      <c r="GIG122" s="69"/>
      <c r="GIH122" s="69"/>
      <c r="GII122" s="69"/>
      <c r="GIJ122" s="69"/>
      <c r="GIK122" s="69"/>
      <c r="GIL122" s="69"/>
      <c r="GIM122" s="69"/>
      <c r="GIN122" s="69"/>
      <c r="GIO122" s="69"/>
      <c r="GIP122" s="69"/>
      <c r="GIQ122" s="69"/>
      <c r="GIR122" s="69"/>
      <c r="GIS122" s="69"/>
      <c r="GIT122" s="69"/>
      <c r="GIU122" s="69"/>
      <c r="GIV122" s="69"/>
      <c r="GIW122" s="69"/>
      <c r="GIX122" s="69"/>
      <c r="GIY122" s="69"/>
      <c r="GIZ122" s="69"/>
      <c r="GJA122" s="69"/>
      <c r="GJB122" s="69"/>
      <c r="GJC122" s="69"/>
      <c r="GJD122" s="69"/>
      <c r="GJE122" s="69"/>
      <c r="GJF122" s="69"/>
      <c r="GJG122" s="69"/>
      <c r="GJH122" s="69"/>
      <c r="GJI122" s="69"/>
      <c r="GJJ122" s="69"/>
      <c r="GJK122" s="69"/>
      <c r="GJL122" s="69"/>
      <c r="GJM122" s="69"/>
      <c r="GJN122" s="69"/>
      <c r="GJO122" s="69"/>
      <c r="GJP122" s="69"/>
      <c r="GJQ122" s="69"/>
      <c r="GJR122" s="69"/>
      <c r="GJS122" s="69"/>
      <c r="GJT122" s="69"/>
      <c r="GJU122" s="69"/>
      <c r="GJV122" s="69"/>
      <c r="GJW122" s="69"/>
      <c r="GJX122" s="69"/>
      <c r="GJY122" s="69"/>
      <c r="GJZ122" s="69"/>
      <c r="GKA122" s="69"/>
      <c r="GKB122" s="69"/>
      <c r="GKC122" s="69"/>
      <c r="GKD122" s="69"/>
      <c r="GKE122" s="69"/>
      <c r="GKF122" s="69"/>
      <c r="GKG122" s="69"/>
      <c r="GKH122" s="69"/>
      <c r="GKI122" s="69"/>
      <c r="GKJ122" s="69"/>
      <c r="GKK122" s="69"/>
      <c r="GKL122" s="69"/>
      <c r="GKM122" s="69"/>
      <c r="GKN122" s="69"/>
      <c r="GKO122" s="69"/>
      <c r="GKP122" s="69"/>
      <c r="GKQ122" s="69"/>
      <c r="GKR122" s="69"/>
      <c r="GKS122" s="69"/>
      <c r="GKT122" s="69"/>
      <c r="GKU122" s="69"/>
      <c r="GKV122" s="69"/>
      <c r="GKW122" s="69"/>
      <c r="GKX122" s="69"/>
      <c r="GKY122" s="69"/>
      <c r="GKZ122" s="69"/>
      <c r="GLA122" s="69"/>
      <c r="GLB122" s="69"/>
      <c r="GLC122" s="69"/>
      <c r="GLD122" s="69"/>
      <c r="GLE122" s="69"/>
      <c r="GLF122" s="69"/>
      <c r="GLG122" s="69"/>
      <c r="GLH122" s="69"/>
      <c r="GLI122" s="69"/>
      <c r="GLJ122" s="69"/>
      <c r="GLK122" s="69"/>
      <c r="GLL122" s="69"/>
      <c r="GLM122" s="69"/>
      <c r="GLN122" s="69"/>
      <c r="GLO122" s="69"/>
      <c r="GLP122" s="69"/>
      <c r="GLQ122" s="69"/>
      <c r="GLR122" s="69"/>
      <c r="GLS122" s="69"/>
      <c r="GLT122" s="69"/>
      <c r="GLU122" s="69"/>
      <c r="GLV122" s="69"/>
      <c r="GLW122" s="69"/>
      <c r="GLX122" s="69"/>
      <c r="GLY122" s="69"/>
      <c r="GLZ122" s="69"/>
      <c r="GMA122" s="69"/>
      <c r="GMB122" s="69"/>
      <c r="GMC122" s="69"/>
      <c r="GMD122" s="69"/>
      <c r="GME122" s="69"/>
      <c r="GMF122" s="69"/>
      <c r="GMG122" s="69"/>
      <c r="GMH122" s="69"/>
      <c r="GMI122" s="69"/>
      <c r="GMJ122" s="69"/>
      <c r="GMK122" s="69"/>
      <c r="GML122" s="69"/>
      <c r="GMM122" s="69"/>
      <c r="GMN122" s="69"/>
      <c r="GMO122" s="69"/>
      <c r="GMP122" s="69"/>
      <c r="GMQ122" s="69"/>
      <c r="GMR122" s="69"/>
      <c r="GMS122" s="69"/>
      <c r="GMT122" s="69"/>
      <c r="GMU122" s="69"/>
      <c r="GMV122" s="69"/>
      <c r="GMW122" s="69"/>
      <c r="GMX122" s="69"/>
      <c r="GMY122" s="69"/>
      <c r="GMZ122" s="69"/>
      <c r="GNA122" s="69"/>
      <c r="GNB122" s="69"/>
      <c r="GNC122" s="69"/>
      <c r="GND122" s="69"/>
      <c r="GNE122" s="69"/>
      <c r="GNF122" s="69"/>
      <c r="GNG122" s="69"/>
      <c r="GNH122" s="69"/>
      <c r="GNI122" s="69"/>
      <c r="GNJ122" s="69"/>
      <c r="GNK122" s="69"/>
      <c r="GNL122" s="69"/>
      <c r="GNM122" s="69"/>
      <c r="GNN122" s="69"/>
      <c r="GNO122" s="69"/>
      <c r="GNP122" s="69"/>
      <c r="GNQ122" s="69"/>
      <c r="GNR122" s="69"/>
      <c r="GNS122" s="69"/>
      <c r="GNT122" s="69"/>
      <c r="GNU122" s="69"/>
      <c r="GNV122" s="69"/>
      <c r="GNW122" s="69"/>
      <c r="GNX122" s="69"/>
      <c r="GNY122" s="69"/>
      <c r="GNZ122" s="69"/>
      <c r="GOA122" s="69"/>
      <c r="GOB122" s="69"/>
      <c r="GOC122" s="69"/>
      <c r="GOD122" s="69"/>
      <c r="GOE122" s="69"/>
      <c r="GOF122" s="69"/>
      <c r="GOG122" s="69"/>
      <c r="GOH122" s="69"/>
      <c r="GOI122" s="69"/>
      <c r="GOJ122" s="69"/>
      <c r="GOK122" s="69"/>
      <c r="GOL122" s="69"/>
      <c r="GOM122" s="69"/>
      <c r="GON122" s="69"/>
      <c r="GOO122" s="69"/>
      <c r="GOP122" s="69"/>
      <c r="GOQ122" s="69"/>
      <c r="GOR122" s="69"/>
      <c r="GOS122" s="69"/>
      <c r="GOT122" s="69"/>
      <c r="GOU122" s="69"/>
      <c r="GOV122" s="69"/>
      <c r="GOW122" s="69"/>
      <c r="GOX122" s="69"/>
      <c r="GOY122" s="69"/>
      <c r="GOZ122" s="69"/>
      <c r="GPA122" s="69"/>
      <c r="GPB122" s="69"/>
      <c r="GPC122" s="69"/>
      <c r="GPD122" s="69"/>
      <c r="GPE122" s="69"/>
      <c r="GPF122" s="69"/>
      <c r="GPG122" s="69"/>
      <c r="GPH122" s="69"/>
      <c r="GPI122" s="69"/>
      <c r="GPJ122" s="69"/>
      <c r="GPK122" s="69"/>
      <c r="GPL122" s="69"/>
      <c r="GPM122" s="69"/>
      <c r="GPN122" s="69"/>
      <c r="GPO122" s="69"/>
      <c r="GPP122" s="69"/>
      <c r="GPQ122" s="69"/>
      <c r="GPR122" s="69"/>
      <c r="GPS122" s="69"/>
      <c r="GPT122" s="69"/>
      <c r="GPU122" s="69"/>
      <c r="GPV122" s="69"/>
      <c r="GPW122" s="69"/>
      <c r="GPX122" s="69"/>
      <c r="GPY122" s="69"/>
      <c r="GPZ122" s="69"/>
      <c r="GQA122" s="69"/>
      <c r="GQB122" s="69"/>
      <c r="GQC122" s="69"/>
      <c r="GQD122" s="69"/>
      <c r="GQE122" s="69"/>
      <c r="GQF122" s="69"/>
      <c r="GQG122" s="69"/>
      <c r="GQH122" s="69"/>
      <c r="GQI122" s="69"/>
      <c r="GQJ122" s="69"/>
      <c r="GQK122" s="69"/>
      <c r="GQL122" s="69"/>
      <c r="GQM122" s="69"/>
      <c r="GQN122" s="69"/>
      <c r="GQO122" s="69"/>
      <c r="GQP122" s="69"/>
      <c r="GQQ122" s="69"/>
      <c r="GQR122" s="69"/>
      <c r="GQS122" s="69"/>
      <c r="GQT122" s="69"/>
      <c r="GQU122" s="69"/>
      <c r="GQV122" s="69"/>
      <c r="GQW122" s="69"/>
      <c r="GQX122" s="69"/>
      <c r="GQY122" s="69"/>
      <c r="GQZ122" s="69"/>
      <c r="GRA122" s="69"/>
      <c r="GRB122" s="69"/>
      <c r="GRC122" s="69"/>
      <c r="GRD122" s="69"/>
      <c r="GRE122" s="69"/>
      <c r="GRF122" s="69"/>
      <c r="GRG122" s="69"/>
      <c r="GRH122" s="69"/>
      <c r="GRI122" s="69"/>
      <c r="GRJ122" s="69"/>
      <c r="GRK122" s="69"/>
      <c r="GRL122" s="69"/>
      <c r="GRM122" s="69"/>
      <c r="GRN122" s="69"/>
      <c r="GRO122" s="69"/>
      <c r="GRP122" s="69"/>
      <c r="GRQ122" s="69"/>
      <c r="GRR122" s="69"/>
      <c r="GRS122" s="69"/>
      <c r="GRT122" s="69"/>
      <c r="GRU122" s="69"/>
      <c r="GRV122" s="69"/>
      <c r="GRW122" s="69"/>
      <c r="GRX122" s="69"/>
      <c r="GRY122" s="69"/>
      <c r="GRZ122" s="69"/>
      <c r="GSA122" s="69"/>
      <c r="GSB122" s="69"/>
      <c r="GSC122" s="69"/>
      <c r="GSD122" s="69"/>
      <c r="GSE122" s="69"/>
      <c r="GSF122" s="69"/>
      <c r="GSG122" s="69"/>
      <c r="GSH122" s="69"/>
      <c r="GSI122" s="69"/>
      <c r="GSJ122" s="69"/>
      <c r="GSK122" s="69"/>
      <c r="GSL122" s="69"/>
      <c r="GSM122" s="69"/>
      <c r="GSN122" s="69"/>
      <c r="GSO122" s="69"/>
      <c r="GSP122" s="69"/>
      <c r="GSQ122" s="69"/>
      <c r="GSR122" s="69"/>
      <c r="GSS122" s="69"/>
      <c r="GST122" s="69"/>
      <c r="GSU122" s="69"/>
      <c r="GSV122" s="69"/>
      <c r="GSW122" s="69"/>
      <c r="GSX122" s="69"/>
      <c r="GSY122" s="69"/>
      <c r="GSZ122" s="69"/>
      <c r="GTA122" s="69"/>
      <c r="GTB122" s="69"/>
      <c r="GTC122" s="69"/>
      <c r="GTD122" s="69"/>
      <c r="GTE122" s="69"/>
      <c r="GTF122" s="69"/>
      <c r="GTG122" s="69"/>
      <c r="GTH122" s="69"/>
      <c r="GTI122" s="69"/>
      <c r="GTJ122" s="69"/>
      <c r="GTK122" s="69"/>
      <c r="GTL122" s="69"/>
      <c r="GTM122" s="69"/>
      <c r="GTN122" s="69"/>
      <c r="GTO122" s="69"/>
      <c r="GTP122" s="69"/>
      <c r="GTQ122" s="69"/>
      <c r="GTR122" s="69"/>
      <c r="GTS122" s="69"/>
      <c r="GTT122" s="69"/>
      <c r="GTU122" s="69"/>
      <c r="GTV122" s="69"/>
      <c r="GTW122" s="69"/>
      <c r="GTX122" s="69"/>
      <c r="GTY122" s="69"/>
      <c r="GTZ122" s="69"/>
      <c r="GUA122" s="69"/>
      <c r="GUB122" s="69"/>
      <c r="GUC122" s="69"/>
      <c r="GUD122" s="69"/>
      <c r="GUE122" s="69"/>
      <c r="GUF122" s="69"/>
      <c r="GUG122" s="69"/>
      <c r="GUH122" s="69"/>
      <c r="GUI122" s="69"/>
      <c r="GUJ122" s="69"/>
      <c r="GUK122" s="69"/>
      <c r="GUL122" s="69"/>
      <c r="GUM122" s="69"/>
      <c r="GUN122" s="69"/>
      <c r="GUO122" s="69"/>
      <c r="GUP122" s="69"/>
      <c r="GUQ122" s="69"/>
      <c r="GUR122" s="69"/>
      <c r="GUS122" s="69"/>
      <c r="GUT122" s="69"/>
      <c r="GUU122" s="69"/>
      <c r="GUV122" s="69"/>
      <c r="GUW122" s="69"/>
      <c r="GUX122" s="69"/>
      <c r="GUY122" s="69"/>
      <c r="GUZ122" s="69"/>
      <c r="GVA122" s="69"/>
      <c r="GVB122" s="69"/>
      <c r="GVC122" s="69"/>
      <c r="GVD122" s="69"/>
      <c r="GVE122" s="69"/>
      <c r="GVF122" s="69"/>
      <c r="GVG122" s="69"/>
      <c r="GVH122" s="69"/>
      <c r="GVI122" s="69"/>
      <c r="GVJ122" s="69"/>
      <c r="GVK122" s="69"/>
      <c r="GVL122" s="69"/>
      <c r="GVM122" s="69"/>
      <c r="GVN122" s="69"/>
      <c r="GVO122" s="69"/>
      <c r="GVP122" s="69"/>
      <c r="GVQ122" s="69"/>
      <c r="GVR122" s="69"/>
      <c r="GVS122" s="69"/>
      <c r="GVT122" s="69"/>
      <c r="GVU122" s="69"/>
      <c r="GVV122" s="69"/>
      <c r="GVW122" s="69"/>
      <c r="GVX122" s="69"/>
      <c r="GVY122" s="69"/>
      <c r="GVZ122" s="69"/>
      <c r="GWA122" s="69"/>
      <c r="GWB122" s="69"/>
      <c r="GWC122" s="69"/>
      <c r="GWD122" s="69"/>
      <c r="GWE122" s="69"/>
      <c r="GWF122" s="69"/>
      <c r="GWG122" s="69"/>
      <c r="GWH122" s="69"/>
      <c r="GWI122" s="69"/>
      <c r="GWJ122" s="69"/>
      <c r="GWK122" s="69"/>
      <c r="GWL122" s="69"/>
      <c r="GWM122" s="69"/>
      <c r="GWN122" s="69"/>
      <c r="GWO122" s="69"/>
      <c r="GWP122" s="69"/>
      <c r="GWQ122" s="69"/>
      <c r="GWR122" s="69"/>
      <c r="GWS122" s="69"/>
      <c r="GWT122" s="69"/>
      <c r="GWU122" s="69"/>
      <c r="GWV122" s="69"/>
      <c r="GWW122" s="69"/>
      <c r="GWX122" s="69"/>
      <c r="GWY122" s="69"/>
      <c r="GWZ122" s="69"/>
      <c r="GXA122" s="69"/>
      <c r="GXB122" s="69"/>
      <c r="GXC122" s="69"/>
      <c r="GXD122" s="69"/>
      <c r="GXE122" s="69"/>
      <c r="GXF122" s="69"/>
      <c r="GXG122" s="69"/>
      <c r="GXH122" s="69"/>
      <c r="GXI122" s="69"/>
      <c r="GXJ122" s="69"/>
      <c r="GXK122" s="69"/>
      <c r="GXL122" s="69"/>
      <c r="GXM122" s="69"/>
      <c r="GXN122" s="69"/>
      <c r="GXO122" s="69"/>
      <c r="GXP122" s="69"/>
      <c r="GXQ122" s="69"/>
      <c r="GXR122" s="69"/>
      <c r="GXS122" s="69"/>
      <c r="GXT122" s="69"/>
      <c r="GXU122" s="69"/>
      <c r="GXV122" s="69"/>
      <c r="GXW122" s="69"/>
      <c r="GXX122" s="69"/>
      <c r="GXY122" s="69"/>
      <c r="GXZ122" s="69"/>
      <c r="GYA122" s="69"/>
      <c r="GYB122" s="69"/>
      <c r="GYC122" s="69"/>
      <c r="GYD122" s="69"/>
      <c r="GYE122" s="69"/>
      <c r="GYF122" s="69"/>
      <c r="GYG122" s="69"/>
      <c r="GYH122" s="69"/>
      <c r="GYI122" s="69"/>
      <c r="GYJ122" s="69"/>
      <c r="GYK122" s="69"/>
      <c r="GYL122" s="69"/>
      <c r="GYM122" s="69"/>
      <c r="GYN122" s="69"/>
      <c r="GYO122" s="69"/>
      <c r="GYP122" s="69"/>
      <c r="GYQ122" s="69"/>
      <c r="GYR122" s="69"/>
      <c r="GYS122" s="69"/>
      <c r="GYT122" s="69"/>
      <c r="GYU122" s="69"/>
      <c r="GYV122" s="69"/>
      <c r="GYW122" s="69"/>
      <c r="GYX122" s="69"/>
      <c r="GYY122" s="69"/>
      <c r="GYZ122" s="69"/>
      <c r="GZA122" s="69"/>
      <c r="GZB122" s="69"/>
      <c r="GZC122" s="69"/>
      <c r="GZD122" s="69"/>
      <c r="GZE122" s="69"/>
      <c r="GZF122" s="69"/>
      <c r="GZG122" s="69"/>
      <c r="GZH122" s="69"/>
      <c r="GZI122" s="69"/>
      <c r="GZJ122" s="69"/>
      <c r="GZK122" s="69"/>
      <c r="GZL122" s="69"/>
      <c r="GZM122" s="69"/>
      <c r="GZN122" s="69"/>
      <c r="GZO122" s="69"/>
      <c r="GZP122" s="69"/>
      <c r="GZQ122" s="69"/>
      <c r="GZR122" s="69"/>
      <c r="GZS122" s="69"/>
      <c r="GZT122" s="69"/>
      <c r="GZU122" s="69"/>
      <c r="GZV122" s="69"/>
      <c r="GZW122" s="69"/>
      <c r="GZX122" s="69"/>
      <c r="GZY122" s="69"/>
      <c r="GZZ122" s="69"/>
      <c r="HAA122" s="69"/>
      <c r="HAB122" s="69"/>
      <c r="HAC122" s="69"/>
      <c r="HAD122" s="69"/>
      <c r="HAE122" s="69"/>
      <c r="HAF122" s="69"/>
      <c r="HAG122" s="69"/>
      <c r="HAH122" s="69"/>
      <c r="HAI122" s="69"/>
      <c r="HAJ122" s="69"/>
      <c r="HAK122" s="69"/>
      <c r="HAL122" s="69"/>
      <c r="HAM122" s="69"/>
      <c r="HAN122" s="69"/>
      <c r="HAO122" s="69"/>
      <c r="HAP122" s="69"/>
      <c r="HAQ122" s="69"/>
      <c r="HAR122" s="69"/>
      <c r="HAS122" s="69"/>
      <c r="HAT122" s="69"/>
      <c r="HAU122" s="69"/>
      <c r="HAV122" s="69"/>
      <c r="HAW122" s="69"/>
      <c r="HAX122" s="69"/>
      <c r="HAY122" s="69"/>
      <c r="HAZ122" s="69"/>
      <c r="HBA122" s="69"/>
      <c r="HBB122" s="69"/>
      <c r="HBC122" s="69"/>
      <c r="HBD122" s="69"/>
      <c r="HBE122" s="69"/>
      <c r="HBF122" s="69"/>
      <c r="HBG122" s="69"/>
      <c r="HBH122" s="69"/>
      <c r="HBI122" s="69"/>
      <c r="HBJ122" s="69"/>
      <c r="HBK122" s="69"/>
      <c r="HBL122" s="69"/>
      <c r="HBM122" s="69"/>
      <c r="HBN122" s="69"/>
      <c r="HBO122" s="69"/>
      <c r="HBP122" s="69"/>
      <c r="HBQ122" s="69"/>
      <c r="HBR122" s="69"/>
      <c r="HBS122" s="69"/>
      <c r="HBT122" s="69"/>
      <c r="HBU122" s="69"/>
      <c r="HBV122" s="69"/>
      <c r="HBW122" s="69"/>
      <c r="HBX122" s="69"/>
      <c r="HBY122" s="69"/>
      <c r="HBZ122" s="69"/>
      <c r="HCA122" s="69"/>
      <c r="HCB122" s="69"/>
      <c r="HCC122" s="69"/>
      <c r="HCD122" s="69"/>
      <c r="HCE122" s="69"/>
      <c r="HCF122" s="69"/>
      <c r="HCG122" s="69"/>
      <c r="HCH122" s="69"/>
      <c r="HCI122" s="69"/>
      <c r="HCJ122" s="69"/>
      <c r="HCK122" s="69"/>
      <c r="HCL122" s="69"/>
      <c r="HCM122" s="69"/>
      <c r="HCN122" s="69"/>
      <c r="HCO122" s="69"/>
      <c r="HCP122" s="69"/>
      <c r="HCQ122" s="69"/>
      <c r="HCR122" s="69"/>
      <c r="HCS122" s="69"/>
      <c r="HCT122" s="69"/>
      <c r="HCU122" s="69"/>
      <c r="HCV122" s="69"/>
      <c r="HCW122" s="69"/>
      <c r="HCX122" s="69"/>
      <c r="HCY122" s="69"/>
      <c r="HCZ122" s="69"/>
      <c r="HDA122" s="69"/>
      <c r="HDB122" s="69"/>
      <c r="HDC122" s="69"/>
      <c r="HDD122" s="69"/>
      <c r="HDE122" s="69"/>
      <c r="HDF122" s="69"/>
      <c r="HDG122" s="69"/>
      <c r="HDH122" s="69"/>
      <c r="HDI122" s="69"/>
      <c r="HDJ122" s="69"/>
      <c r="HDK122" s="69"/>
      <c r="HDL122" s="69"/>
      <c r="HDM122" s="69"/>
      <c r="HDN122" s="69"/>
      <c r="HDO122" s="69"/>
      <c r="HDP122" s="69"/>
      <c r="HDQ122" s="69"/>
      <c r="HDR122" s="69"/>
      <c r="HDS122" s="69"/>
      <c r="HDT122" s="69"/>
      <c r="HDU122" s="69"/>
      <c r="HDV122" s="69"/>
      <c r="HDW122" s="69"/>
      <c r="HDX122" s="69"/>
      <c r="HDY122" s="69"/>
      <c r="HDZ122" s="69"/>
      <c r="HEA122" s="69"/>
      <c r="HEB122" s="69"/>
      <c r="HEC122" s="69"/>
      <c r="HED122" s="69"/>
      <c r="HEE122" s="69"/>
      <c r="HEF122" s="69"/>
      <c r="HEG122" s="69"/>
      <c r="HEH122" s="69"/>
      <c r="HEI122" s="69"/>
      <c r="HEJ122" s="69"/>
      <c r="HEK122" s="69"/>
      <c r="HEL122" s="69"/>
      <c r="HEM122" s="69"/>
      <c r="HEN122" s="69"/>
      <c r="HEO122" s="69"/>
      <c r="HEP122" s="69"/>
      <c r="HEQ122" s="69"/>
      <c r="HER122" s="69"/>
      <c r="HES122" s="69"/>
      <c r="HET122" s="69"/>
      <c r="HEU122" s="69"/>
      <c r="HEV122" s="69"/>
      <c r="HEW122" s="69"/>
      <c r="HEX122" s="69"/>
      <c r="HEY122" s="69"/>
      <c r="HEZ122" s="69"/>
      <c r="HFA122" s="69"/>
      <c r="HFB122" s="69"/>
      <c r="HFC122" s="69"/>
      <c r="HFD122" s="69"/>
      <c r="HFE122" s="69"/>
      <c r="HFF122" s="69"/>
      <c r="HFG122" s="69"/>
      <c r="HFH122" s="69"/>
      <c r="HFI122" s="69"/>
      <c r="HFJ122" s="69"/>
      <c r="HFK122" s="69"/>
      <c r="HFL122" s="69"/>
      <c r="HFM122" s="69"/>
      <c r="HFN122" s="69"/>
      <c r="HFO122" s="69"/>
      <c r="HFP122" s="69"/>
      <c r="HFQ122" s="69"/>
      <c r="HFR122" s="69"/>
      <c r="HFS122" s="69"/>
      <c r="HFT122" s="69"/>
      <c r="HFU122" s="69"/>
      <c r="HFV122" s="69"/>
      <c r="HFW122" s="69"/>
      <c r="HFX122" s="69"/>
      <c r="HFY122" s="69"/>
      <c r="HFZ122" s="69"/>
      <c r="HGA122" s="69"/>
      <c r="HGB122" s="69"/>
      <c r="HGC122" s="69"/>
      <c r="HGD122" s="69"/>
      <c r="HGE122" s="69"/>
      <c r="HGF122" s="69"/>
      <c r="HGG122" s="69"/>
      <c r="HGH122" s="69"/>
      <c r="HGI122" s="69"/>
      <c r="HGJ122" s="69"/>
      <c r="HGK122" s="69"/>
      <c r="HGL122" s="69"/>
      <c r="HGM122" s="69"/>
      <c r="HGN122" s="69"/>
      <c r="HGO122" s="69"/>
      <c r="HGP122" s="69"/>
      <c r="HGQ122" s="69"/>
      <c r="HGR122" s="69"/>
      <c r="HGS122" s="69"/>
      <c r="HGT122" s="69"/>
      <c r="HGU122" s="69"/>
      <c r="HGV122" s="69"/>
      <c r="HGW122" s="69"/>
      <c r="HGX122" s="69"/>
      <c r="HGY122" s="69"/>
      <c r="HGZ122" s="69"/>
      <c r="HHA122" s="69"/>
      <c r="HHB122" s="69"/>
      <c r="HHC122" s="69"/>
      <c r="HHD122" s="69"/>
      <c r="HHE122" s="69"/>
      <c r="HHF122" s="69"/>
      <c r="HHG122" s="69"/>
      <c r="HHH122" s="69"/>
      <c r="HHI122" s="69"/>
      <c r="HHJ122" s="69"/>
      <c r="HHK122" s="69"/>
      <c r="HHL122" s="69"/>
      <c r="HHM122" s="69"/>
      <c r="HHN122" s="69"/>
      <c r="HHO122" s="69"/>
      <c r="HHP122" s="69"/>
      <c r="HHQ122" s="69"/>
      <c r="HHR122" s="69"/>
      <c r="HHS122" s="69"/>
      <c r="HHT122" s="69"/>
      <c r="HHU122" s="69"/>
      <c r="HHV122" s="69"/>
      <c r="HHW122" s="69"/>
      <c r="HHX122" s="69"/>
      <c r="HHY122" s="69"/>
      <c r="HHZ122" s="69"/>
      <c r="HIA122" s="69"/>
      <c r="HIB122" s="69"/>
      <c r="HIC122" s="69"/>
      <c r="HID122" s="69"/>
      <c r="HIE122" s="69"/>
      <c r="HIF122" s="69"/>
      <c r="HIG122" s="69"/>
      <c r="HIH122" s="69"/>
      <c r="HII122" s="69"/>
      <c r="HIJ122" s="69"/>
      <c r="HIK122" s="69"/>
      <c r="HIL122" s="69"/>
      <c r="HIM122" s="69"/>
      <c r="HIN122" s="69"/>
      <c r="HIO122" s="69"/>
      <c r="HIP122" s="69"/>
      <c r="HIQ122" s="69"/>
      <c r="HIR122" s="69"/>
      <c r="HIS122" s="69"/>
      <c r="HIT122" s="69"/>
      <c r="HIU122" s="69"/>
      <c r="HIV122" s="69"/>
      <c r="HIW122" s="69"/>
      <c r="HIX122" s="69"/>
      <c r="HIY122" s="69"/>
      <c r="HIZ122" s="69"/>
      <c r="HJA122" s="69"/>
      <c r="HJB122" s="69"/>
      <c r="HJC122" s="69"/>
      <c r="HJD122" s="69"/>
      <c r="HJE122" s="69"/>
      <c r="HJF122" s="69"/>
      <c r="HJG122" s="69"/>
      <c r="HJH122" s="69"/>
      <c r="HJI122" s="69"/>
      <c r="HJJ122" s="69"/>
      <c r="HJK122" s="69"/>
      <c r="HJL122" s="69"/>
      <c r="HJM122" s="69"/>
      <c r="HJN122" s="69"/>
      <c r="HJO122" s="69"/>
      <c r="HJP122" s="69"/>
      <c r="HJQ122" s="69"/>
      <c r="HJR122" s="69"/>
      <c r="HJS122" s="69"/>
      <c r="HJT122" s="69"/>
      <c r="HJU122" s="69"/>
      <c r="HJV122" s="69"/>
      <c r="HJW122" s="69"/>
      <c r="HJX122" s="69"/>
      <c r="HJY122" s="69"/>
      <c r="HJZ122" s="69"/>
      <c r="HKA122" s="69"/>
      <c r="HKB122" s="69"/>
      <c r="HKC122" s="69"/>
      <c r="HKD122" s="69"/>
      <c r="HKE122" s="69"/>
      <c r="HKF122" s="69"/>
      <c r="HKG122" s="69"/>
      <c r="HKH122" s="69"/>
      <c r="HKI122" s="69"/>
      <c r="HKJ122" s="69"/>
      <c r="HKK122" s="69"/>
      <c r="HKL122" s="69"/>
      <c r="HKM122" s="69"/>
      <c r="HKN122" s="69"/>
      <c r="HKO122" s="69"/>
      <c r="HKP122" s="69"/>
      <c r="HKQ122" s="69"/>
      <c r="HKR122" s="69"/>
      <c r="HKS122" s="69"/>
      <c r="HKT122" s="69"/>
      <c r="HKU122" s="69"/>
      <c r="HKV122" s="69"/>
      <c r="HKW122" s="69"/>
      <c r="HKX122" s="69"/>
      <c r="HKY122" s="69"/>
      <c r="HKZ122" s="69"/>
      <c r="HLA122" s="69"/>
      <c r="HLB122" s="69"/>
      <c r="HLC122" s="69"/>
      <c r="HLD122" s="69"/>
      <c r="HLE122" s="69"/>
      <c r="HLF122" s="69"/>
      <c r="HLG122" s="69"/>
      <c r="HLH122" s="69"/>
      <c r="HLI122" s="69"/>
      <c r="HLJ122" s="69"/>
      <c r="HLK122" s="69"/>
      <c r="HLL122" s="69"/>
      <c r="HLM122" s="69"/>
      <c r="HLN122" s="69"/>
      <c r="HLO122" s="69"/>
      <c r="HLP122" s="69"/>
      <c r="HLQ122" s="69"/>
      <c r="HLR122" s="69"/>
      <c r="HLS122" s="69"/>
      <c r="HLT122" s="69"/>
      <c r="HLU122" s="69"/>
      <c r="HLV122" s="69"/>
      <c r="HLW122" s="69"/>
      <c r="HLX122" s="69"/>
      <c r="HLY122" s="69"/>
      <c r="HLZ122" s="69"/>
      <c r="HMA122" s="69"/>
      <c r="HMB122" s="69"/>
      <c r="HMC122" s="69"/>
      <c r="HMD122" s="69"/>
      <c r="HME122" s="69"/>
      <c r="HMF122" s="69"/>
      <c r="HMG122" s="69"/>
      <c r="HMH122" s="69"/>
      <c r="HMI122" s="69"/>
      <c r="HMJ122" s="69"/>
      <c r="HMK122" s="69"/>
      <c r="HML122" s="69"/>
      <c r="HMM122" s="69"/>
      <c r="HMN122" s="69"/>
      <c r="HMO122" s="69"/>
      <c r="HMP122" s="69"/>
      <c r="HMQ122" s="69"/>
      <c r="HMR122" s="69"/>
      <c r="HMS122" s="69"/>
      <c r="HMT122" s="69"/>
      <c r="HMU122" s="69"/>
      <c r="HMV122" s="69"/>
      <c r="HMW122" s="69"/>
      <c r="HMX122" s="69"/>
      <c r="HMY122" s="69"/>
      <c r="HMZ122" s="69"/>
      <c r="HNA122" s="69"/>
      <c r="HNB122" s="69"/>
      <c r="HNC122" s="69"/>
      <c r="HND122" s="69"/>
      <c r="HNE122" s="69"/>
      <c r="HNF122" s="69"/>
      <c r="HNG122" s="69"/>
      <c r="HNH122" s="69"/>
      <c r="HNI122" s="69"/>
      <c r="HNJ122" s="69"/>
      <c r="HNK122" s="69"/>
      <c r="HNL122" s="69"/>
      <c r="HNM122" s="69"/>
      <c r="HNN122" s="69"/>
      <c r="HNO122" s="69"/>
      <c r="HNP122" s="69"/>
      <c r="HNQ122" s="69"/>
      <c r="HNR122" s="69"/>
      <c r="HNS122" s="69"/>
      <c r="HNT122" s="69"/>
      <c r="HNU122" s="69"/>
      <c r="HNV122" s="69"/>
      <c r="HNW122" s="69"/>
      <c r="HNX122" s="69"/>
      <c r="HNY122" s="69"/>
      <c r="HNZ122" s="69"/>
      <c r="HOA122" s="69"/>
      <c r="HOB122" s="69"/>
      <c r="HOC122" s="69"/>
      <c r="HOD122" s="69"/>
      <c r="HOE122" s="69"/>
      <c r="HOF122" s="69"/>
      <c r="HOG122" s="69"/>
      <c r="HOH122" s="69"/>
      <c r="HOI122" s="69"/>
      <c r="HOJ122" s="69"/>
      <c r="HOK122" s="69"/>
      <c r="HOL122" s="69"/>
      <c r="HOM122" s="69"/>
      <c r="HON122" s="69"/>
      <c r="HOO122" s="69"/>
      <c r="HOP122" s="69"/>
      <c r="HOQ122" s="69"/>
      <c r="HOR122" s="69"/>
      <c r="HOS122" s="69"/>
      <c r="HOT122" s="69"/>
      <c r="HOU122" s="69"/>
      <c r="HOV122" s="69"/>
      <c r="HOW122" s="69"/>
      <c r="HOX122" s="69"/>
      <c r="HOY122" s="69"/>
      <c r="HOZ122" s="69"/>
      <c r="HPA122" s="69"/>
      <c r="HPB122" s="69"/>
      <c r="HPC122" s="69"/>
      <c r="HPD122" s="69"/>
      <c r="HPE122" s="69"/>
      <c r="HPF122" s="69"/>
      <c r="HPG122" s="69"/>
      <c r="HPH122" s="69"/>
      <c r="HPI122" s="69"/>
      <c r="HPJ122" s="69"/>
      <c r="HPK122" s="69"/>
      <c r="HPL122" s="69"/>
      <c r="HPM122" s="69"/>
      <c r="HPN122" s="69"/>
      <c r="HPO122" s="69"/>
      <c r="HPP122" s="69"/>
      <c r="HPQ122" s="69"/>
      <c r="HPR122" s="69"/>
      <c r="HPS122" s="69"/>
      <c r="HPT122" s="69"/>
      <c r="HPU122" s="69"/>
      <c r="HPV122" s="69"/>
      <c r="HPW122" s="69"/>
      <c r="HPX122" s="69"/>
      <c r="HPY122" s="69"/>
      <c r="HPZ122" s="69"/>
      <c r="HQA122" s="69"/>
      <c r="HQB122" s="69"/>
      <c r="HQC122" s="69"/>
      <c r="HQD122" s="69"/>
      <c r="HQE122" s="69"/>
      <c r="HQF122" s="69"/>
      <c r="HQG122" s="69"/>
      <c r="HQH122" s="69"/>
      <c r="HQI122" s="69"/>
      <c r="HQJ122" s="69"/>
      <c r="HQK122" s="69"/>
      <c r="HQL122" s="69"/>
      <c r="HQM122" s="69"/>
      <c r="HQN122" s="69"/>
      <c r="HQO122" s="69"/>
      <c r="HQP122" s="69"/>
      <c r="HQQ122" s="69"/>
      <c r="HQR122" s="69"/>
      <c r="HQS122" s="69"/>
      <c r="HQT122" s="69"/>
      <c r="HQU122" s="69"/>
      <c r="HQV122" s="69"/>
      <c r="HQW122" s="69"/>
      <c r="HQX122" s="69"/>
      <c r="HQY122" s="69"/>
      <c r="HQZ122" s="69"/>
      <c r="HRA122" s="69"/>
      <c r="HRB122" s="69"/>
      <c r="HRC122" s="69"/>
      <c r="HRD122" s="69"/>
      <c r="HRE122" s="69"/>
      <c r="HRF122" s="69"/>
      <c r="HRG122" s="69"/>
      <c r="HRH122" s="69"/>
      <c r="HRI122" s="69"/>
      <c r="HRJ122" s="69"/>
      <c r="HRK122" s="69"/>
      <c r="HRL122" s="69"/>
      <c r="HRM122" s="69"/>
      <c r="HRN122" s="69"/>
      <c r="HRO122" s="69"/>
      <c r="HRP122" s="69"/>
      <c r="HRQ122" s="69"/>
      <c r="HRR122" s="69"/>
      <c r="HRS122" s="69"/>
      <c r="HRT122" s="69"/>
      <c r="HRU122" s="69"/>
      <c r="HRV122" s="69"/>
      <c r="HRW122" s="69"/>
      <c r="HRX122" s="69"/>
      <c r="HRY122" s="69"/>
      <c r="HRZ122" s="69"/>
      <c r="HSA122" s="69"/>
      <c r="HSB122" s="69"/>
      <c r="HSC122" s="69"/>
      <c r="HSD122" s="69"/>
      <c r="HSE122" s="69"/>
      <c r="HSF122" s="69"/>
      <c r="HSG122" s="69"/>
      <c r="HSH122" s="69"/>
      <c r="HSI122" s="69"/>
      <c r="HSJ122" s="69"/>
      <c r="HSK122" s="69"/>
      <c r="HSL122" s="69"/>
      <c r="HSM122" s="69"/>
      <c r="HSN122" s="69"/>
      <c r="HSO122" s="69"/>
      <c r="HSP122" s="69"/>
      <c r="HSQ122" s="69"/>
      <c r="HSR122" s="69"/>
      <c r="HSS122" s="69"/>
      <c r="HST122" s="69"/>
      <c r="HSU122" s="69"/>
      <c r="HSV122" s="69"/>
      <c r="HSW122" s="69"/>
      <c r="HSX122" s="69"/>
      <c r="HSY122" s="69"/>
      <c r="HSZ122" s="69"/>
      <c r="HTA122" s="69"/>
      <c r="HTB122" s="69"/>
      <c r="HTC122" s="69"/>
      <c r="HTD122" s="69"/>
      <c r="HTE122" s="69"/>
      <c r="HTF122" s="69"/>
      <c r="HTG122" s="69"/>
      <c r="HTH122" s="69"/>
      <c r="HTI122" s="69"/>
      <c r="HTJ122" s="69"/>
      <c r="HTK122" s="69"/>
      <c r="HTL122" s="69"/>
      <c r="HTM122" s="69"/>
      <c r="HTN122" s="69"/>
      <c r="HTO122" s="69"/>
      <c r="HTP122" s="69"/>
      <c r="HTQ122" s="69"/>
      <c r="HTR122" s="69"/>
      <c r="HTS122" s="69"/>
      <c r="HTT122" s="69"/>
      <c r="HTU122" s="69"/>
      <c r="HTV122" s="69"/>
      <c r="HTW122" s="69"/>
      <c r="HTX122" s="69"/>
      <c r="HTY122" s="69"/>
      <c r="HTZ122" s="69"/>
      <c r="HUA122" s="69"/>
      <c r="HUB122" s="69"/>
      <c r="HUC122" s="69"/>
      <c r="HUD122" s="69"/>
      <c r="HUE122" s="69"/>
      <c r="HUF122" s="69"/>
      <c r="HUG122" s="69"/>
      <c r="HUH122" s="69"/>
      <c r="HUI122" s="69"/>
      <c r="HUJ122" s="69"/>
      <c r="HUK122" s="69"/>
      <c r="HUL122" s="69"/>
      <c r="HUM122" s="69"/>
      <c r="HUN122" s="69"/>
      <c r="HUO122" s="69"/>
      <c r="HUP122" s="69"/>
      <c r="HUQ122" s="69"/>
      <c r="HUR122" s="69"/>
      <c r="HUS122" s="69"/>
      <c r="HUT122" s="69"/>
      <c r="HUU122" s="69"/>
      <c r="HUV122" s="69"/>
      <c r="HUW122" s="69"/>
      <c r="HUX122" s="69"/>
      <c r="HUY122" s="69"/>
      <c r="HUZ122" s="69"/>
      <c r="HVA122" s="69"/>
      <c r="HVB122" s="69"/>
      <c r="HVC122" s="69"/>
      <c r="HVD122" s="69"/>
      <c r="HVE122" s="69"/>
      <c r="HVF122" s="69"/>
      <c r="HVG122" s="69"/>
      <c r="HVH122" s="69"/>
      <c r="HVI122" s="69"/>
      <c r="HVJ122" s="69"/>
      <c r="HVK122" s="69"/>
      <c r="HVL122" s="69"/>
      <c r="HVM122" s="69"/>
      <c r="HVN122" s="69"/>
      <c r="HVO122" s="69"/>
      <c r="HVP122" s="69"/>
      <c r="HVQ122" s="69"/>
      <c r="HVR122" s="69"/>
      <c r="HVS122" s="69"/>
      <c r="HVT122" s="69"/>
      <c r="HVU122" s="69"/>
      <c r="HVV122" s="69"/>
      <c r="HVW122" s="69"/>
      <c r="HVX122" s="69"/>
      <c r="HVY122" s="69"/>
      <c r="HVZ122" s="69"/>
      <c r="HWA122" s="69"/>
      <c r="HWB122" s="69"/>
      <c r="HWC122" s="69"/>
      <c r="HWD122" s="69"/>
      <c r="HWE122" s="69"/>
      <c r="HWF122" s="69"/>
      <c r="HWG122" s="69"/>
      <c r="HWH122" s="69"/>
      <c r="HWI122" s="69"/>
      <c r="HWJ122" s="69"/>
      <c r="HWK122" s="69"/>
      <c r="HWL122" s="69"/>
      <c r="HWM122" s="69"/>
      <c r="HWN122" s="69"/>
      <c r="HWO122" s="69"/>
      <c r="HWP122" s="69"/>
      <c r="HWQ122" s="69"/>
      <c r="HWR122" s="69"/>
      <c r="HWS122" s="69"/>
      <c r="HWT122" s="69"/>
      <c r="HWU122" s="69"/>
      <c r="HWV122" s="69"/>
      <c r="HWW122" s="69"/>
      <c r="HWX122" s="69"/>
      <c r="HWY122" s="69"/>
      <c r="HWZ122" s="69"/>
      <c r="HXA122" s="69"/>
      <c r="HXB122" s="69"/>
      <c r="HXC122" s="69"/>
      <c r="HXD122" s="69"/>
      <c r="HXE122" s="69"/>
      <c r="HXF122" s="69"/>
      <c r="HXG122" s="69"/>
      <c r="HXH122" s="69"/>
      <c r="HXI122" s="69"/>
      <c r="HXJ122" s="69"/>
      <c r="HXK122" s="69"/>
      <c r="HXL122" s="69"/>
      <c r="HXM122" s="69"/>
      <c r="HXN122" s="69"/>
      <c r="HXO122" s="69"/>
      <c r="HXP122" s="69"/>
      <c r="HXQ122" s="69"/>
      <c r="HXR122" s="69"/>
      <c r="HXS122" s="69"/>
      <c r="HXT122" s="69"/>
      <c r="HXU122" s="69"/>
      <c r="HXV122" s="69"/>
      <c r="HXW122" s="69"/>
      <c r="HXX122" s="69"/>
      <c r="HXY122" s="69"/>
      <c r="HXZ122" s="69"/>
      <c r="HYA122" s="69"/>
      <c r="HYB122" s="69"/>
      <c r="HYC122" s="69"/>
      <c r="HYD122" s="69"/>
      <c r="HYE122" s="69"/>
      <c r="HYF122" s="69"/>
      <c r="HYG122" s="69"/>
      <c r="HYH122" s="69"/>
      <c r="HYI122" s="69"/>
      <c r="HYJ122" s="69"/>
      <c r="HYK122" s="69"/>
      <c r="HYL122" s="69"/>
      <c r="HYM122" s="69"/>
      <c r="HYN122" s="69"/>
      <c r="HYO122" s="69"/>
      <c r="HYP122" s="69"/>
      <c r="HYQ122" s="69"/>
      <c r="HYR122" s="69"/>
      <c r="HYS122" s="69"/>
      <c r="HYT122" s="69"/>
      <c r="HYU122" s="69"/>
      <c r="HYV122" s="69"/>
      <c r="HYW122" s="69"/>
      <c r="HYX122" s="69"/>
      <c r="HYY122" s="69"/>
      <c r="HYZ122" s="69"/>
      <c r="HZA122" s="69"/>
      <c r="HZB122" s="69"/>
      <c r="HZC122" s="69"/>
      <c r="HZD122" s="69"/>
      <c r="HZE122" s="69"/>
      <c r="HZF122" s="69"/>
      <c r="HZG122" s="69"/>
      <c r="HZH122" s="69"/>
      <c r="HZI122" s="69"/>
      <c r="HZJ122" s="69"/>
      <c r="HZK122" s="69"/>
      <c r="HZL122" s="69"/>
      <c r="HZM122" s="69"/>
      <c r="HZN122" s="69"/>
      <c r="HZO122" s="69"/>
      <c r="HZP122" s="69"/>
      <c r="HZQ122" s="69"/>
      <c r="HZR122" s="69"/>
      <c r="HZS122" s="69"/>
      <c r="HZT122" s="69"/>
      <c r="HZU122" s="69"/>
      <c r="HZV122" s="69"/>
      <c r="HZW122" s="69"/>
      <c r="HZX122" s="69"/>
      <c r="HZY122" s="69"/>
      <c r="HZZ122" s="69"/>
      <c r="IAA122" s="69"/>
      <c r="IAB122" s="69"/>
      <c r="IAC122" s="69"/>
      <c r="IAD122" s="69"/>
      <c r="IAE122" s="69"/>
      <c r="IAF122" s="69"/>
      <c r="IAG122" s="69"/>
      <c r="IAH122" s="69"/>
      <c r="IAI122" s="69"/>
      <c r="IAJ122" s="69"/>
      <c r="IAK122" s="69"/>
      <c r="IAL122" s="69"/>
      <c r="IAM122" s="69"/>
      <c r="IAN122" s="69"/>
      <c r="IAO122" s="69"/>
      <c r="IAP122" s="69"/>
      <c r="IAQ122" s="69"/>
      <c r="IAR122" s="69"/>
      <c r="IAS122" s="69"/>
      <c r="IAT122" s="69"/>
      <c r="IAU122" s="69"/>
      <c r="IAV122" s="69"/>
      <c r="IAW122" s="69"/>
      <c r="IAX122" s="69"/>
      <c r="IAY122" s="69"/>
      <c r="IAZ122" s="69"/>
      <c r="IBA122" s="69"/>
      <c r="IBB122" s="69"/>
      <c r="IBC122" s="69"/>
      <c r="IBD122" s="69"/>
      <c r="IBE122" s="69"/>
      <c r="IBF122" s="69"/>
      <c r="IBG122" s="69"/>
      <c r="IBH122" s="69"/>
      <c r="IBI122" s="69"/>
      <c r="IBJ122" s="69"/>
      <c r="IBK122" s="69"/>
      <c r="IBL122" s="69"/>
      <c r="IBM122" s="69"/>
      <c r="IBN122" s="69"/>
      <c r="IBO122" s="69"/>
      <c r="IBP122" s="69"/>
      <c r="IBQ122" s="69"/>
      <c r="IBR122" s="69"/>
      <c r="IBS122" s="69"/>
      <c r="IBT122" s="69"/>
      <c r="IBU122" s="69"/>
      <c r="IBV122" s="69"/>
      <c r="IBW122" s="69"/>
      <c r="IBX122" s="69"/>
      <c r="IBY122" s="69"/>
      <c r="IBZ122" s="69"/>
      <c r="ICA122" s="69"/>
      <c r="ICB122" s="69"/>
      <c r="ICC122" s="69"/>
      <c r="ICD122" s="69"/>
      <c r="ICE122" s="69"/>
      <c r="ICF122" s="69"/>
      <c r="ICG122" s="69"/>
      <c r="ICH122" s="69"/>
      <c r="ICI122" s="69"/>
      <c r="ICJ122" s="69"/>
      <c r="ICK122" s="69"/>
      <c r="ICL122" s="69"/>
      <c r="ICM122" s="69"/>
      <c r="ICN122" s="69"/>
      <c r="ICO122" s="69"/>
      <c r="ICP122" s="69"/>
      <c r="ICQ122" s="69"/>
      <c r="ICR122" s="69"/>
      <c r="ICS122" s="69"/>
      <c r="ICT122" s="69"/>
      <c r="ICU122" s="69"/>
      <c r="ICV122" s="69"/>
      <c r="ICW122" s="69"/>
      <c r="ICX122" s="69"/>
      <c r="ICY122" s="69"/>
      <c r="ICZ122" s="69"/>
      <c r="IDA122" s="69"/>
      <c r="IDB122" s="69"/>
      <c r="IDC122" s="69"/>
      <c r="IDD122" s="69"/>
      <c r="IDE122" s="69"/>
      <c r="IDF122" s="69"/>
      <c r="IDG122" s="69"/>
      <c r="IDH122" s="69"/>
      <c r="IDI122" s="69"/>
      <c r="IDJ122" s="69"/>
      <c r="IDK122" s="69"/>
      <c r="IDL122" s="69"/>
      <c r="IDM122" s="69"/>
      <c r="IDN122" s="69"/>
      <c r="IDO122" s="69"/>
      <c r="IDP122" s="69"/>
      <c r="IDQ122" s="69"/>
      <c r="IDR122" s="69"/>
      <c r="IDS122" s="69"/>
      <c r="IDT122" s="69"/>
      <c r="IDU122" s="69"/>
      <c r="IDV122" s="69"/>
      <c r="IDW122" s="69"/>
      <c r="IDX122" s="69"/>
      <c r="IDY122" s="69"/>
      <c r="IDZ122" s="69"/>
      <c r="IEA122" s="69"/>
      <c r="IEB122" s="69"/>
      <c r="IEC122" s="69"/>
      <c r="IED122" s="69"/>
      <c r="IEE122" s="69"/>
      <c r="IEF122" s="69"/>
      <c r="IEG122" s="69"/>
      <c r="IEH122" s="69"/>
      <c r="IEI122" s="69"/>
      <c r="IEJ122" s="69"/>
      <c r="IEK122" s="69"/>
      <c r="IEL122" s="69"/>
      <c r="IEM122" s="69"/>
      <c r="IEN122" s="69"/>
      <c r="IEO122" s="69"/>
      <c r="IEP122" s="69"/>
      <c r="IEQ122" s="69"/>
      <c r="IER122" s="69"/>
      <c r="IES122" s="69"/>
      <c r="IET122" s="69"/>
      <c r="IEU122" s="69"/>
      <c r="IEV122" s="69"/>
      <c r="IEW122" s="69"/>
      <c r="IEX122" s="69"/>
      <c r="IEY122" s="69"/>
      <c r="IEZ122" s="69"/>
      <c r="IFA122" s="69"/>
      <c r="IFB122" s="69"/>
      <c r="IFC122" s="69"/>
      <c r="IFD122" s="69"/>
      <c r="IFE122" s="69"/>
      <c r="IFF122" s="69"/>
      <c r="IFG122" s="69"/>
      <c r="IFH122" s="69"/>
      <c r="IFI122" s="69"/>
      <c r="IFJ122" s="69"/>
      <c r="IFK122" s="69"/>
      <c r="IFL122" s="69"/>
      <c r="IFM122" s="69"/>
      <c r="IFN122" s="69"/>
      <c r="IFO122" s="69"/>
      <c r="IFP122" s="69"/>
      <c r="IFQ122" s="69"/>
      <c r="IFR122" s="69"/>
      <c r="IFS122" s="69"/>
      <c r="IFT122" s="69"/>
      <c r="IFU122" s="69"/>
      <c r="IFV122" s="69"/>
      <c r="IFW122" s="69"/>
      <c r="IFX122" s="69"/>
      <c r="IFY122" s="69"/>
      <c r="IFZ122" s="69"/>
      <c r="IGA122" s="69"/>
      <c r="IGB122" s="69"/>
      <c r="IGC122" s="69"/>
      <c r="IGD122" s="69"/>
      <c r="IGE122" s="69"/>
      <c r="IGF122" s="69"/>
      <c r="IGG122" s="69"/>
      <c r="IGH122" s="69"/>
      <c r="IGI122" s="69"/>
      <c r="IGJ122" s="69"/>
      <c r="IGK122" s="69"/>
      <c r="IGL122" s="69"/>
      <c r="IGM122" s="69"/>
      <c r="IGN122" s="69"/>
      <c r="IGO122" s="69"/>
      <c r="IGP122" s="69"/>
      <c r="IGQ122" s="69"/>
      <c r="IGR122" s="69"/>
      <c r="IGS122" s="69"/>
      <c r="IGT122" s="69"/>
      <c r="IGU122" s="69"/>
      <c r="IGV122" s="69"/>
      <c r="IGW122" s="69"/>
      <c r="IGX122" s="69"/>
      <c r="IGY122" s="69"/>
      <c r="IGZ122" s="69"/>
      <c r="IHA122" s="69"/>
      <c r="IHB122" s="69"/>
      <c r="IHC122" s="69"/>
      <c r="IHD122" s="69"/>
      <c r="IHE122" s="69"/>
      <c r="IHF122" s="69"/>
      <c r="IHG122" s="69"/>
      <c r="IHH122" s="69"/>
      <c r="IHI122" s="69"/>
      <c r="IHJ122" s="69"/>
      <c r="IHK122" s="69"/>
      <c r="IHL122" s="69"/>
      <c r="IHM122" s="69"/>
      <c r="IHN122" s="69"/>
      <c r="IHO122" s="69"/>
      <c r="IHP122" s="69"/>
      <c r="IHQ122" s="69"/>
      <c r="IHR122" s="69"/>
      <c r="IHS122" s="69"/>
      <c r="IHT122" s="69"/>
      <c r="IHU122" s="69"/>
      <c r="IHV122" s="69"/>
      <c r="IHW122" s="69"/>
      <c r="IHX122" s="69"/>
      <c r="IHY122" s="69"/>
      <c r="IHZ122" s="69"/>
      <c r="IIA122" s="69"/>
      <c r="IIB122" s="69"/>
      <c r="IIC122" s="69"/>
      <c r="IID122" s="69"/>
      <c r="IIE122" s="69"/>
      <c r="IIF122" s="69"/>
      <c r="IIG122" s="69"/>
      <c r="IIH122" s="69"/>
      <c r="III122" s="69"/>
      <c r="IIJ122" s="69"/>
      <c r="IIK122" s="69"/>
      <c r="IIL122" s="69"/>
      <c r="IIM122" s="69"/>
      <c r="IIN122" s="69"/>
      <c r="IIO122" s="69"/>
      <c r="IIP122" s="69"/>
      <c r="IIQ122" s="69"/>
      <c r="IIR122" s="69"/>
      <c r="IIS122" s="69"/>
      <c r="IIT122" s="69"/>
      <c r="IIU122" s="69"/>
      <c r="IIV122" s="69"/>
      <c r="IIW122" s="69"/>
      <c r="IIX122" s="69"/>
      <c r="IIY122" s="69"/>
      <c r="IIZ122" s="69"/>
      <c r="IJA122" s="69"/>
      <c r="IJB122" s="69"/>
      <c r="IJC122" s="69"/>
      <c r="IJD122" s="69"/>
      <c r="IJE122" s="69"/>
      <c r="IJF122" s="69"/>
      <c r="IJG122" s="69"/>
      <c r="IJH122" s="69"/>
      <c r="IJI122" s="69"/>
      <c r="IJJ122" s="69"/>
      <c r="IJK122" s="69"/>
      <c r="IJL122" s="69"/>
      <c r="IJM122" s="69"/>
      <c r="IJN122" s="69"/>
      <c r="IJO122" s="69"/>
      <c r="IJP122" s="69"/>
      <c r="IJQ122" s="69"/>
      <c r="IJR122" s="69"/>
      <c r="IJS122" s="69"/>
      <c r="IJT122" s="69"/>
      <c r="IJU122" s="69"/>
      <c r="IJV122" s="69"/>
      <c r="IJW122" s="69"/>
      <c r="IJX122" s="69"/>
      <c r="IJY122" s="69"/>
      <c r="IJZ122" s="69"/>
      <c r="IKA122" s="69"/>
      <c r="IKB122" s="69"/>
      <c r="IKC122" s="69"/>
      <c r="IKD122" s="69"/>
      <c r="IKE122" s="69"/>
      <c r="IKF122" s="69"/>
      <c r="IKG122" s="69"/>
      <c r="IKH122" s="69"/>
      <c r="IKI122" s="69"/>
      <c r="IKJ122" s="69"/>
      <c r="IKK122" s="69"/>
      <c r="IKL122" s="69"/>
      <c r="IKM122" s="69"/>
      <c r="IKN122" s="69"/>
      <c r="IKO122" s="69"/>
      <c r="IKP122" s="69"/>
      <c r="IKQ122" s="69"/>
      <c r="IKR122" s="69"/>
      <c r="IKS122" s="69"/>
      <c r="IKT122" s="69"/>
      <c r="IKU122" s="69"/>
      <c r="IKV122" s="69"/>
      <c r="IKW122" s="69"/>
      <c r="IKX122" s="69"/>
      <c r="IKY122" s="69"/>
      <c r="IKZ122" s="69"/>
      <c r="ILA122" s="69"/>
      <c r="ILB122" s="69"/>
      <c r="ILC122" s="69"/>
      <c r="ILD122" s="69"/>
      <c r="ILE122" s="69"/>
      <c r="ILF122" s="69"/>
      <c r="ILG122" s="69"/>
      <c r="ILH122" s="69"/>
      <c r="ILI122" s="69"/>
      <c r="ILJ122" s="69"/>
      <c r="ILK122" s="69"/>
      <c r="ILL122" s="69"/>
      <c r="ILM122" s="69"/>
      <c r="ILN122" s="69"/>
      <c r="ILO122" s="69"/>
      <c r="ILP122" s="69"/>
      <c r="ILQ122" s="69"/>
      <c r="ILR122" s="69"/>
      <c r="ILS122" s="69"/>
      <c r="ILT122" s="69"/>
      <c r="ILU122" s="69"/>
      <c r="ILV122" s="69"/>
      <c r="ILW122" s="69"/>
      <c r="ILX122" s="69"/>
      <c r="ILY122" s="69"/>
      <c r="ILZ122" s="69"/>
      <c r="IMA122" s="69"/>
      <c r="IMB122" s="69"/>
      <c r="IMC122" s="69"/>
      <c r="IMD122" s="69"/>
      <c r="IME122" s="69"/>
      <c r="IMF122" s="69"/>
      <c r="IMG122" s="69"/>
      <c r="IMH122" s="69"/>
      <c r="IMI122" s="69"/>
      <c r="IMJ122" s="69"/>
      <c r="IMK122" s="69"/>
      <c r="IML122" s="69"/>
      <c r="IMM122" s="69"/>
      <c r="IMN122" s="69"/>
      <c r="IMO122" s="69"/>
      <c r="IMP122" s="69"/>
      <c r="IMQ122" s="69"/>
      <c r="IMR122" s="69"/>
      <c r="IMS122" s="69"/>
      <c r="IMT122" s="69"/>
      <c r="IMU122" s="69"/>
      <c r="IMV122" s="69"/>
      <c r="IMW122" s="69"/>
      <c r="IMX122" s="69"/>
      <c r="IMY122" s="69"/>
      <c r="IMZ122" s="69"/>
      <c r="INA122" s="69"/>
      <c r="INB122" s="69"/>
      <c r="INC122" s="69"/>
      <c r="IND122" s="69"/>
      <c r="INE122" s="69"/>
      <c r="INF122" s="69"/>
      <c r="ING122" s="69"/>
      <c r="INH122" s="69"/>
      <c r="INI122" s="69"/>
      <c r="INJ122" s="69"/>
      <c r="INK122" s="69"/>
      <c r="INL122" s="69"/>
      <c r="INM122" s="69"/>
      <c r="INN122" s="69"/>
      <c r="INO122" s="69"/>
      <c r="INP122" s="69"/>
      <c r="INQ122" s="69"/>
      <c r="INR122" s="69"/>
      <c r="INS122" s="69"/>
      <c r="INT122" s="69"/>
      <c r="INU122" s="69"/>
      <c r="INV122" s="69"/>
      <c r="INW122" s="69"/>
      <c r="INX122" s="69"/>
      <c r="INY122" s="69"/>
      <c r="INZ122" s="69"/>
      <c r="IOA122" s="69"/>
      <c r="IOB122" s="69"/>
      <c r="IOC122" s="69"/>
      <c r="IOD122" s="69"/>
      <c r="IOE122" s="69"/>
      <c r="IOF122" s="69"/>
      <c r="IOG122" s="69"/>
      <c r="IOH122" s="69"/>
      <c r="IOI122" s="69"/>
      <c r="IOJ122" s="69"/>
      <c r="IOK122" s="69"/>
      <c r="IOL122" s="69"/>
      <c r="IOM122" s="69"/>
      <c r="ION122" s="69"/>
      <c r="IOO122" s="69"/>
      <c r="IOP122" s="69"/>
      <c r="IOQ122" s="69"/>
      <c r="IOR122" s="69"/>
      <c r="IOS122" s="69"/>
      <c r="IOT122" s="69"/>
      <c r="IOU122" s="69"/>
      <c r="IOV122" s="69"/>
      <c r="IOW122" s="69"/>
      <c r="IOX122" s="69"/>
      <c r="IOY122" s="69"/>
      <c r="IOZ122" s="69"/>
      <c r="IPA122" s="69"/>
      <c r="IPB122" s="69"/>
      <c r="IPC122" s="69"/>
      <c r="IPD122" s="69"/>
      <c r="IPE122" s="69"/>
      <c r="IPF122" s="69"/>
      <c r="IPG122" s="69"/>
      <c r="IPH122" s="69"/>
      <c r="IPI122" s="69"/>
      <c r="IPJ122" s="69"/>
      <c r="IPK122" s="69"/>
      <c r="IPL122" s="69"/>
      <c r="IPM122" s="69"/>
      <c r="IPN122" s="69"/>
      <c r="IPO122" s="69"/>
      <c r="IPP122" s="69"/>
      <c r="IPQ122" s="69"/>
      <c r="IPR122" s="69"/>
      <c r="IPS122" s="69"/>
      <c r="IPT122" s="69"/>
      <c r="IPU122" s="69"/>
      <c r="IPV122" s="69"/>
      <c r="IPW122" s="69"/>
      <c r="IPX122" s="69"/>
      <c r="IPY122" s="69"/>
      <c r="IPZ122" s="69"/>
      <c r="IQA122" s="69"/>
      <c r="IQB122" s="69"/>
      <c r="IQC122" s="69"/>
      <c r="IQD122" s="69"/>
      <c r="IQE122" s="69"/>
      <c r="IQF122" s="69"/>
      <c r="IQG122" s="69"/>
      <c r="IQH122" s="69"/>
      <c r="IQI122" s="69"/>
      <c r="IQJ122" s="69"/>
      <c r="IQK122" s="69"/>
      <c r="IQL122" s="69"/>
      <c r="IQM122" s="69"/>
      <c r="IQN122" s="69"/>
      <c r="IQO122" s="69"/>
      <c r="IQP122" s="69"/>
      <c r="IQQ122" s="69"/>
      <c r="IQR122" s="69"/>
      <c r="IQS122" s="69"/>
      <c r="IQT122" s="69"/>
      <c r="IQU122" s="69"/>
      <c r="IQV122" s="69"/>
      <c r="IQW122" s="69"/>
      <c r="IQX122" s="69"/>
      <c r="IQY122" s="69"/>
      <c r="IQZ122" s="69"/>
      <c r="IRA122" s="69"/>
      <c r="IRB122" s="69"/>
      <c r="IRC122" s="69"/>
      <c r="IRD122" s="69"/>
      <c r="IRE122" s="69"/>
      <c r="IRF122" s="69"/>
      <c r="IRG122" s="69"/>
      <c r="IRH122" s="69"/>
      <c r="IRI122" s="69"/>
      <c r="IRJ122" s="69"/>
      <c r="IRK122" s="69"/>
      <c r="IRL122" s="69"/>
      <c r="IRM122" s="69"/>
      <c r="IRN122" s="69"/>
      <c r="IRO122" s="69"/>
      <c r="IRP122" s="69"/>
      <c r="IRQ122" s="69"/>
      <c r="IRR122" s="69"/>
      <c r="IRS122" s="69"/>
      <c r="IRT122" s="69"/>
      <c r="IRU122" s="69"/>
      <c r="IRV122" s="69"/>
      <c r="IRW122" s="69"/>
      <c r="IRX122" s="69"/>
      <c r="IRY122" s="69"/>
      <c r="IRZ122" s="69"/>
      <c r="ISA122" s="69"/>
      <c r="ISB122" s="69"/>
      <c r="ISC122" s="69"/>
      <c r="ISD122" s="69"/>
      <c r="ISE122" s="69"/>
      <c r="ISF122" s="69"/>
      <c r="ISG122" s="69"/>
      <c r="ISH122" s="69"/>
      <c r="ISI122" s="69"/>
      <c r="ISJ122" s="69"/>
      <c r="ISK122" s="69"/>
      <c r="ISL122" s="69"/>
      <c r="ISM122" s="69"/>
      <c r="ISN122" s="69"/>
      <c r="ISO122" s="69"/>
      <c r="ISP122" s="69"/>
      <c r="ISQ122" s="69"/>
      <c r="ISR122" s="69"/>
      <c r="ISS122" s="69"/>
      <c r="IST122" s="69"/>
      <c r="ISU122" s="69"/>
      <c r="ISV122" s="69"/>
      <c r="ISW122" s="69"/>
      <c r="ISX122" s="69"/>
      <c r="ISY122" s="69"/>
      <c r="ISZ122" s="69"/>
      <c r="ITA122" s="69"/>
      <c r="ITB122" s="69"/>
      <c r="ITC122" s="69"/>
      <c r="ITD122" s="69"/>
      <c r="ITE122" s="69"/>
      <c r="ITF122" s="69"/>
      <c r="ITG122" s="69"/>
      <c r="ITH122" s="69"/>
      <c r="ITI122" s="69"/>
      <c r="ITJ122" s="69"/>
      <c r="ITK122" s="69"/>
      <c r="ITL122" s="69"/>
      <c r="ITM122" s="69"/>
      <c r="ITN122" s="69"/>
      <c r="ITO122" s="69"/>
      <c r="ITP122" s="69"/>
      <c r="ITQ122" s="69"/>
      <c r="ITR122" s="69"/>
      <c r="ITS122" s="69"/>
      <c r="ITT122" s="69"/>
      <c r="ITU122" s="69"/>
      <c r="ITV122" s="69"/>
      <c r="ITW122" s="69"/>
      <c r="ITX122" s="69"/>
      <c r="ITY122" s="69"/>
      <c r="ITZ122" s="69"/>
      <c r="IUA122" s="69"/>
      <c r="IUB122" s="69"/>
      <c r="IUC122" s="69"/>
      <c r="IUD122" s="69"/>
      <c r="IUE122" s="69"/>
      <c r="IUF122" s="69"/>
      <c r="IUG122" s="69"/>
      <c r="IUH122" s="69"/>
      <c r="IUI122" s="69"/>
      <c r="IUJ122" s="69"/>
      <c r="IUK122" s="69"/>
      <c r="IUL122" s="69"/>
      <c r="IUM122" s="69"/>
      <c r="IUN122" s="69"/>
      <c r="IUO122" s="69"/>
      <c r="IUP122" s="69"/>
      <c r="IUQ122" s="69"/>
      <c r="IUR122" s="69"/>
      <c r="IUS122" s="69"/>
      <c r="IUT122" s="69"/>
      <c r="IUU122" s="69"/>
      <c r="IUV122" s="69"/>
      <c r="IUW122" s="69"/>
      <c r="IUX122" s="69"/>
      <c r="IUY122" s="69"/>
      <c r="IUZ122" s="69"/>
      <c r="IVA122" s="69"/>
      <c r="IVB122" s="69"/>
      <c r="IVC122" s="69"/>
      <c r="IVD122" s="69"/>
      <c r="IVE122" s="69"/>
      <c r="IVF122" s="69"/>
      <c r="IVG122" s="69"/>
      <c r="IVH122" s="69"/>
      <c r="IVI122" s="69"/>
      <c r="IVJ122" s="69"/>
      <c r="IVK122" s="69"/>
      <c r="IVL122" s="69"/>
      <c r="IVM122" s="69"/>
      <c r="IVN122" s="69"/>
      <c r="IVO122" s="69"/>
      <c r="IVP122" s="69"/>
      <c r="IVQ122" s="69"/>
      <c r="IVR122" s="69"/>
      <c r="IVS122" s="69"/>
      <c r="IVT122" s="69"/>
      <c r="IVU122" s="69"/>
      <c r="IVV122" s="69"/>
      <c r="IVW122" s="69"/>
      <c r="IVX122" s="69"/>
      <c r="IVY122" s="69"/>
      <c r="IVZ122" s="69"/>
      <c r="IWA122" s="69"/>
      <c r="IWB122" s="69"/>
      <c r="IWC122" s="69"/>
      <c r="IWD122" s="69"/>
      <c r="IWE122" s="69"/>
      <c r="IWF122" s="69"/>
      <c r="IWG122" s="69"/>
      <c r="IWH122" s="69"/>
      <c r="IWI122" s="69"/>
      <c r="IWJ122" s="69"/>
      <c r="IWK122" s="69"/>
      <c r="IWL122" s="69"/>
      <c r="IWM122" s="69"/>
      <c r="IWN122" s="69"/>
      <c r="IWO122" s="69"/>
      <c r="IWP122" s="69"/>
      <c r="IWQ122" s="69"/>
      <c r="IWR122" s="69"/>
      <c r="IWS122" s="69"/>
      <c r="IWT122" s="69"/>
      <c r="IWU122" s="69"/>
      <c r="IWV122" s="69"/>
      <c r="IWW122" s="69"/>
      <c r="IWX122" s="69"/>
      <c r="IWY122" s="69"/>
      <c r="IWZ122" s="69"/>
      <c r="IXA122" s="69"/>
      <c r="IXB122" s="69"/>
      <c r="IXC122" s="69"/>
      <c r="IXD122" s="69"/>
      <c r="IXE122" s="69"/>
      <c r="IXF122" s="69"/>
      <c r="IXG122" s="69"/>
      <c r="IXH122" s="69"/>
      <c r="IXI122" s="69"/>
      <c r="IXJ122" s="69"/>
      <c r="IXK122" s="69"/>
      <c r="IXL122" s="69"/>
      <c r="IXM122" s="69"/>
      <c r="IXN122" s="69"/>
      <c r="IXO122" s="69"/>
      <c r="IXP122" s="69"/>
      <c r="IXQ122" s="69"/>
      <c r="IXR122" s="69"/>
      <c r="IXS122" s="69"/>
      <c r="IXT122" s="69"/>
      <c r="IXU122" s="69"/>
      <c r="IXV122" s="69"/>
      <c r="IXW122" s="69"/>
      <c r="IXX122" s="69"/>
      <c r="IXY122" s="69"/>
      <c r="IXZ122" s="69"/>
      <c r="IYA122" s="69"/>
      <c r="IYB122" s="69"/>
      <c r="IYC122" s="69"/>
      <c r="IYD122" s="69"/>
      <c r="IYE122" s="69"/>
      <c r="IYF122" s="69"/>
      <c r="IYG122" s="69"/>
      <c r="IYH122" s="69"/>
      <c r="IYI122" s="69"/>
      <c r="IYJ122" s="69"/>
      <c r="IYK122" s="69"/>
      <c r="IYL122" s="69"/>
      <c r="IYM122" s="69"/>
      <c r="IYN122" s="69"/>
      <c r="IYO122" s="69"/>
      <c r="IYP122" s="69"/>
      <c r="IYQ122" s="69"/>
      <c r="IYR122" s="69"/>
      <c r="IYS122" s="69"/>
      <c r="IYT122" s="69"/>
      <c r="IYU122" s="69"/>
      <c r="IYV122" s="69"/>
      <c r="IYW122" s="69"/>
      <c r="IYX122" s="69"/>
      <c r="IYY122" s="69"/>
      <c r="IYZ122" s="69"/>
      <c r="IZA122" s="69"/>
      <c r="IZB122" s="69"/>
      <c r="IZC122" s="69"/>
      <c r="IZD122" s="69"/>
      <c r="IZE122" s="69"/>
      <c r="IZF122" s="69"/>
      <c r="IZG122" s="69"/>
      <c r="IZH122" s="69"/>
      <c r="IZI122" s="69"/>
      <c r="IZJ122" s="69"/>
      <c r="IZK122" s="69"/>
      <c r="IZL122" s="69"/>
      <c r="IZM122" s="69"/>
      <c r="IZN122" s="69"/>
      <c r="IZO122" s="69"/>
      <c r="IZP122" s="69"/>
      <c r="IZQ122" s="69"/>
      <c r="IZR122" s="69"/>
      <c r="IZS122" s="69"/>
      <c r="IZT122" s="69"/>
      <c r="IZU122" s="69"/>
      <c r="IZV122" s="69"/>
      <c r="IZW122" s="69"/>
      <c r="IZX122" s="69"/>
      <c r="IZY122" s="69"/>
      <c r="IZZ122" s="69"/>
      <c r="JAA122" s="69"/>
      <c r="JAB122" s="69"/>
      <c r="JAC122" s="69"/>
      <c r="JAD122" s="69"/>
      <c r="JAE122" s="69"/>
      <c r="JAF122" s="69"/>
      <c r="JAG122" s="69"/>
      <c r="JAH122" s="69"/>
      <c r="JAI122" s="69"/>
      <c r="JAJ122" s="69"/>
      <c r="JAK122" s="69"/>
      <c r="JAL122" s="69"/>
      <c r="JAM122" s="69"/>
      <c r="JAN122" s="69"/>
      <c r="JAO122" s="69"/>
      <c r="JAP122" s="69"/>
      <c r="JAQ122" s="69"/>
      <c r="JAR122" s="69"/>
      <c r="JAS122" s="69"/>
      <c r="JAT122" s="69"/>
      <c r="JAU122" s="69"/>
      <c r="JAV122" s="69"/>
      <c r="JAW122" s="69"/>
      <c r="JAX122" s="69"/>
      <c r="JAY122" s="69"/>
      <c r="JAZ122" s="69"/>
      <c r="JBA122" s="69"/>
      <c r="JBB122" s="69"/>
      <c r="JBC122" s="69"/>
      <c r="JBD122" s="69"/>
      <c r="JBE122" s="69"/>
      <c r="JBF122" s="69"/>
      <c r="JBG122" s="69"/>
      <c r="JBH122" s="69"/>
      <c r="JBI122" s="69"/>
      <c r="JBJ122" s="69"/>
      <c r="JBK122" s="69"/>
      <c r="JBL122" s="69"/>
      <c r="JBM122" s="69"/>
      <c r="JBN122" s="69"/>
      <c r="JBO122" s="69"/>
      <c r="JBP122" s="69"/>
      <c r="JBQ122" s="69"/>
      <c r="JBR122" s="69"/>
      <c r="JBS122" s="69"/>
      <c r="JBT122" s="69"/>
      <c r="JBU122" s="69"/>
      <c r="JBV122" s="69"/>
      <c r="JBW122" s="69"/>
      <c r="JBX122" s="69"/>
      <c r="JBY122" s="69"/>
      <c r="JBZ122" s="69"/>
      <c r="JCA122" s="69"/>
      <c r="JCB122" s="69"/>
      <c r="JCC122" s="69"/>
      <c r="JCD122" s="69"/>
      <c r="JCE122" s="69"/>
      <c r="JCF122" s="69"/>
      <c r="JCG122" s="69"/>
      <c r="JCH122" s="69"/>
      <c r="JCI122" s="69"/>
      <c r="JCJ122" s="69"/>
      <c r="JCK122" s="69"/>
      <c r="JCL122" s="69"/>
      <c r="JCM122" s="69"/>
      <c r="JCN122" s="69"/>
      <c r="JCO122" s="69"/>
      <c r="JCP122" s="69"/>
      <c r="JCQ122" s="69"/>
      <c r="JCR122" s="69"/>
      <c r="JCS122" s="69"/>
      <c r="JCT122" s="69"/>
      <c r="JCU122" s="69"/>
      <c r="JCV122" s="69"/>
      <c r="JCW122" s="69"/>
      <c r="JCX122" s="69"/>
      <c r="JCY122" s="69"/>
      <c r="JCZ122" s="69"/>
      <c r="JDA122" s="69"/>
      <c r="JDB122" s="69"/>
      <c r="JDC122" s="69"/>
      <c r="JDD122" s="69"/>
      <c r="JDE122" s="69"/>
      <c r="JDF122" s="69"/>
      <c r="JDG122" s="69"/>
      <c r="JDH122" s="69"/>
      <c r="JDI122" s="69"/>
      <c r="JDJ122" s="69"/>
      <c r="JDK122" s="69"/>
      <c r="JDL122" s="69"/>
      <c r="JDM122" s="69"/>
      <c r="JDN122" s="69"/>
      <c r="JDO122" s="69"/>
      <c r="JDP122" s="69"/>
      <c r="JDQ122" s="69"/>
      <c r="JDR122" s="69"/>
      <c r="JDS122" s="69"/>
      <c r="JDT122" s="69"/>
      <c r="JDU122" s="69"/>
      <c r="JDV122" s="69"/>
      <c r="JDW122" s="69"/>
      <c r="JDX122" s="69"/>
      <c r="JDY122" s="69"/>
      <c r="JDZ122" s="69"/>
      <c r="JEA122" s="69"/>
      <c r="JEB122" s="69"/>
      <c r="JEC122" s="69"/>
      <c r="JED122" s="69"/>
      <c r="JEE122" s="69"/>
      <c r="JEF122" s="69"/>
      <c r="JEG122" s="69"/>
      <c r="JEH122" s="69"/>
      <c r="JEI122" s="69"/>
      <c r="JEJ122" s="69"/>
      <c r="JEK122" s="69"/>
      <c r="JEL122" s="69"/>
      <c r="JEM122" s="69"/>
      <c r="JEN122" s="69"/>
      <c r="JEO122" s="69"/>
      <c r="JEP122" s="69"/>
      <c r="JEQ122" s="69"/>
      <c r="JER122" s="69"/>
      <c r="JES122" s="69"/>
      <c r="JET122" s="69"/>
      <c r="JEU122" s="69"/>
      <c r="JEV122" s="69"/>
      <c r="JEW122" s="69"/>
      <c r="JEX122" s="69"/>
      <c r="JEY122" s="69"/>
      <c r="JEZ122" s="69"/>
      <c r="JFA122" s="69"/>
      <c r="JFB122" s="69"/>
      <c r="JFC122" s="69"/>
      <c r="JFD122" s="69"/>
      <c r="JFE122" s="69"/>
      <c r="JFF122" s="69"/>
      <c r="JFG122" s="69"/>
      <c r="JFH122" s="69"/>
      <c r="JFI122" s="69"/>
      <c r="JFJ122" s="69"/>
      <c r="JFK122" s="69"/>
      <c r="JFL122" s="69"/>
      <c r="JFM122" s="69"/>
      <c r="JFN122" s="69"/>
      <c r="JFO122" s="69"/>
      <c r="JFP122" s="69"/>
      <c r="JFQ122" s="69"/>
      <c r="JFR122" s="69"/>
      <c r="JFS122" s="69"/>
      <c r="JFT122" s="69"/>
      <c r="JFU122" s="69"/>
      <c r="JFV122" s="69"/>
      <c r="JFW122" s="69"/>
      <c r="JFX122" s="69"/>
      <c r="JFY122" s="69"/>
      <c r="JFZ122" s="69"/>
      <c r="JGA122" s="69"/>
      <c r="JGB122" s="69"/>
      <c r="JGC122" s="69"/>
      <c r="JGD122" s="69"/>
      <c r="JGE122" s="69"/>
      <c r="JGF122" s="69"/>
      <c r="JGG122" s="69"/>
      <c r="JGH122" s="69"/>
      <c r="JGI122" s="69"/>
      <c r="JGJ122" s="69"/>
      <c r="JGK122" s="69"/>
      <c r="JGL122" s="69"/>
      <c r="JGM122" s="69"/>
      <c r="JGN122" s="69"/>
      <c r="JGO122" s="69"/>
      <c r="JGP122" s="69"/>
      <c r="JGQ122" s="69"/>
      <c r="JGR122" s="69"/>
      <c r="JGS122" s="69"/>
      <c r="JGT122" s="69"/>
      <c r="JGU122" s="69"/>
      <c r="JGV122" s="69"/>
      <c r="JGW122" s="69"/>
      <c r="JGX122" s="69"/>
      <c r="JGY122" s="69"/>
      <c r="JGZ122" s="69"/>
      <c r="JHA122" s="69"/>
      <c r="JHB122" s="69"/>
      <c r="JHC122" s="69"/>
      <c r="JHD122" s="69"/>
      <c r="JHE122" s="69"/>
      <c r="JHF122" s="69"/>
      <c r="JHG122" s="69"/>
      <c r="JHH122" s="69"/>
      <c r="JHI122" s="69"/>
      <c r="JHJ122" s="69"/>
      <c r="JHK122" s="69"/>
      <c r="JHL122" s="69"/>
      <c r="JHM122" s="69"/>
      <c r="JHN122" s="69"/>
      <c r="JHO122" s="69"/>
      <c r="JHP122" s="69"/>
      <c r="JHQ122" s="69"/>
      <c r="JHR122" s="69"/>
      <c r="JHS122" s="69"/>
      <c r="JHT122" s="69"/>
      <c r="JHU122" s="69"/>
      <c r="JHV122" s="69"/>
      <c r="JHW122" s="69"/>
      <c r="JHX122" s="69"/>
      <c r="JHY122" s="69"/>
      <c r="JHZ122" s="69"/>
      <c r="JIA122" s="69"/>
      <c r="JIB122" s="69"/>
      <c r="JIC122" s="69"/>
      <c r="JID122" s="69"/>
      <c r="JIE122" s="69"/>
      <c r="JIF122" s="69"/>
      <c r="JIG122" s="69"/>
      <c r="JIH122" s="69"/>
      <c r="JII122" s="69"/>
      <c r="JIJ122" s="69"/>
      <c r="JIK122" s="69"/>
      <c r="JIL122" s="69"/>
      <c r="JIM122" s="69"/>
      <c r="JIN122" s="69"/>
      <c r="JIO122" s="69"/>
      <c r="JIP122" s="69"/>
      <c r="JIQ122" s="69"/>
      <c r="JIR122" s="69"/>
      <c r="JIS122" s="69"/>
      <c r="JIT122" s="69"/>
      <c r="JIU122" s="69"/>
      <c r="JIV122" s="69"/>
      <c r="JIW122" s="69"/>
      <c r="JIX122" s="69"/>
      <c r="JIY122" s="69"/>
      <c r="JIZ122" s="69"/>
      <c r="JJA122" s="69"/>
      <c r="JJB122" s="69"/>
      <c r="JJC122" s="69"/>
      <c r="JJD122" s="69"/>
      <c r="JJE122" s="69"/>
      <c r="JJF122" s="69"/>
      <c r="JJG122" s="69"/>
      <c r="JJH122" s="69"/>
      <c r="JJI122" s="69"/>
      <c r="JJJ122" s="69"/>
      <c r="JJK122" s="69"/>
      <c r="JJL122" s="69"/>
      <c r="JJM122" s="69"/>
      <c r="JJN122" s="69"/>
      <c r="JJO122" s="69"/>
      <c r="JJP122" s="69"/>
      <c r="JJQ122" s="69"/>
      <c r="JJR122" s="69"/>
      <c r="JJS122" s="69"/>
      <c r="JJT122" s="69"/>
      <c r="JJU122" s="69"/>
      <c r="JJV122" s="69"/>
      <c r="JJW122" s="69"/>
      <c r="JJX122" s="69"/>
      <c r="JJY122" s="69"/>
      <c r="JJZ122" s="69"/>
      <c r="JKA122" s="69"/>
      <c r="JKB122" s="69"/>
      <c r="JKC122" s="69"/>
      <c r="JKD122" s="69"/>
      <c r="JKE122" s="69"/>
      <c r="JKF122" s="69"/>
      <c r="JKG122" s="69"/>
      <c r="JKH122" s="69"/>
      <c r="JKI122" s="69"/>
      <c r="JKJ122" s="69"/>
      <c r="JKK122" s="69"/>
      <c r="JKL122" s="69"/>
      <c r="JKM122" s="69"/>
      <c r="JKN122" s="69"/>
      <c r="JKO122" s="69"/>
      <c r="JKP122" s="69"/>
      <c r="JKQ122" s="69"/>
      <c r="JKR122" s="69"/>
      <c r="JKS122" s="69"/>
      <c r="JKT122" s="69"/>
      <c r="JKU122" s="69"/>
      <c r="JKV122" s="69"/>
      <c r="JKW122" s="69"/>
      <c r="JKX122" s="69"/>
      <c r="JKY122" s="69"/>
      <c r="JKZ122" s="69"/>
      <c r="JLA122" s="69"/>
      <c r="JLB122" s="69"/>
      <c r="JLC122" s="69"/>
      <c r="JLD122" s="69"/>
      <c r="JLE122" s="69"/>
      <c r="JLF122" s="69"/>
      <c r="JLG122" s="69"/>
      <c r="JLH122" s="69"/>
      <c r="JLI122" s="69"/>
      <c r="JLJ122" s="69"/>
      <c r="JLK122" s="69"/>
      <c r="JLL122" s="69"/>
      <c r="JLM122" s="69"/>
      <c r="JLN122" s="69"/>
      <c r="JLO122" s="69"/>
      <c r="JLP122" s="69"/>
      <c r="JLQ122" s="69"/>
      <c r="JLR122" s="69"/>
      <c r="JLS122" s="69"/>
      <c r="JLT122" s="69"/>
      <c r="JLU122" s="69"/>
      <c r="JLV122" s="69"/>
      <c r="JLW122" s="69"/>
      <c r="JLX122" s="69"/>
      <c r="JLY122" s="69"/>
      <c r="JLZ122" s="69"/>
      <c r="JMA122" s="69"/>
      <c r="JMB122" s="69"/>
      <c r="JMC122" s="69"/>
      <c r="JMD122" s="69"/>
      <c r="JME122" s="69"/>
      <c r="JMF122" s="69"/>
      <c r="JMG122" s="69"/>
      <c r="JMH122" s="69"/>
      <c r="JMI122" s="69"/>
      <c r="JMJ122" s="69"/>
      <c r="JMK122" s="69"/>
      <c r="JML122" s="69"/>
      <c r="JMM122" s="69"/>
      <c r="JMN122" s="69"/>
      <c r="JMO122" s="69"/>
      <c r="JMP122" s="69"/>
      <c r="JMQ122" s="69"/>
      <c r="JMR122" s="69"/>
      <c r="JMS122" s="69"/>
      <c r="JMT122" s="69"/>
      <c r="JMU122" s="69"/>
      <c r="JMV122" s="69"/>
      <c r="JMW122" s="69"/>
      <c r="JMX122" s="69"/>
      <c r="JMY122" s="69"/>
      <c r="JMZ122" s="69"/>
      <c r="JNA122" s="69"/>
      <c r="JNB122" s="69"/>
      <c r="JNC122" s="69"/>
      <c r="JND122" s="69"/>
      <c r="JNE122" s="69"/>
      <c r="JNF122" s="69"/>
      <c r="JNG122" s="69"/>
      <c r="JNH122" s="69"/>
      <c r="JNI122" s="69"/>
      <c r="JNJ122" s="69"/>
      <c r="JNK122" s="69"/>
      <c r="JNL122" s="69"/>
      <c r="JNM122" s="69"/>
      <c r="JNN122" s="69"/>
      <c r="JNO122" s="69"/>
      <c r="JNP122" s="69"/>
      <c r="JNQ122" s="69"/>
      <c r="JNR122" s="69"/>
      <c r="JNS122" s="69"/>
      <c r="JNT122" s="69"/>
      <c r="JNU122" s="69"/>
      <c r="JNV122" s="69"/>
      <c r="JNW122" s="69"/>
      <c r="JNX122" s="69"/>
      <c r="JNY122" s="69"/>
      <c r="JNZ122" s="69"/>
      <c r="JOA122" s="69"/>
      <c r="JOB122" s="69"/>
      <c r="JOC122" s="69"/>
      <c r="JOD122" s="69"/>
      <c r="JOE122" s="69"/>
      <c r="JOF122" s="69"/>
      <c r="JOG122" s="69"/>
      <c r="JOH122" s="69"/>
      <c r="JOI122" s="69"/>
      <c r="JOJ122" s="69"/>
      <c r="JOK122" s="69"/>
      <c r="JOL122" s="69"/>
      <c r="JOM122" s="69"/>
      <c r="JON122" s="69"/>
      <c r="JOO122" s="69"/>
      <c r="JOP122" s="69"/>
      <c r="JOQ122" s="69"/>
      <c r="JOR122" s="69"/>
      <c r="JOS122" s="69"/>
      <c r="JOT122" s="69"/>
      <c r="JOU122" s="69"/>
      <c r="JOV122" s="69"/>
      <c r="JOW122" s="69"/>
      <c r="JOX122" s="69"/>
      <c r="JOY122" s="69"/>
      <c r="JOZ122" s="69"/>
      <c r="JPA122" s="69"/>
      <c r="JPB122" s="69"/>
      <c r="JPC122" s="69"/>
      <c r="JPD122" s="69"/>
      <c r="JPE122" s="69"/>
      <c r="JPF122" s="69"/>
      <c r="JPG122" s="69"/>
      <c r="JPH122" s="69"/>
      <c r="JPI122" s="69"/>
      <c r="JPJ122" s="69"/>
      <c r="JPK122" s="69"/>
      <c r="JPL122" s="69"/>
      <c r="JPM122" s="69"/>
      <c r="JPN122" s="69"/>
      <c r="JPO122" s="69"/>
      <c r="JPP122" s="69"/>
      <c r="JPQ122" s="69"/>
      <c r="JPR122" s="69"/>
      <c r="JPS122" s="69"/>
      <c r="JPT122" s="69"/>
      <c r="JPU122" s="69"/>
      <c r="JPV122" s="69"/>
      <c r="JPW122" s="69"/>
      <c r="JPX122" s="69"/>
      <c r="JPY122" s="69"/>
      <c r="JPZ122" s="69"/>
      <c r="JQA122" s="69"/>
      <c r="JQB122" s="69"/>
      <c r="JQC122" s="69"/>
      <c r="JQD122" s="69"/>
      <c r="JQE122" s="69"/>
      <c r="JQF122" s="69"/>
      <c r="JQG122" s="69"/>
      <c r="JQH122" s="69"/>
      <c r="JQI122" s="69"/>
      <c r="JQJ122" s="69"/>
      <c r="JQK122" s="69"/>
      <c r="JQL122" s="69"/>
      <c r="JQM122" s="69"/>
      <c r="JQN122" s="69"/>
      <c r="JQO122" s="69"/>
      <c r="JQP122" s="69"/>
      <c r="JQQ122" s="69"/>
      <c r="JQR122" s="69"/>
      <c r="JQS122" s="69"/>
      <c r="JQT122" s="69"/>
      <c r="JQU122" s="69"/>
      <c r="JQV122" s="69"/>
      <c r="JQW122" s="69"/>
      <c r="JQX122" s="69"/>
      <c r="JQY122" s="69"/>
      <c r="JQZ122" s="69"/>
      <c r="JRA122" s="69"/>
      <c r="JRB122" s="69"/>
      <c r="JRC122" s="69"/>
      <c r="JRD122" s="69"/>
      <c r="JRE122" s="69"/>
      <c r="JRF122" s="69"/>
      <c r="JRG122" s="69"/>
      <c r="JRH122" s="69"/>
      <c r="JRI122" s="69"/>
      <c r="JRJ122" s="69"/>
      <c r="JRK122" s="69"/>
      <c r="JRL122" s="69"/>
      <c r="JRM122" s="69"/>
      <c r="JRN122" s="69"/>
      <c r="JRO122" s="69"/>
      <c r="JRP122" s="69"/>
      <c r="JRQ122" s="69"/>
      <c r="JRR122" s="69"/>
      <c r="JRS122" s="69"/>
      <c r="JRT122" s="69"/>
      <c r="JRU122" s="69"/>
      <c r="JRV122" s="69"/>
      <c r="JRW122" s="69"/>
      <c r="JRX122" s="69"/>
      <c r="JRY122" s="69"/>
      <c r="JRZ122" s="69"/>
      <c r="JSA122" s="69"/>
      <c r="JSB122" s="69"/>
      <c r="JSC122" s="69"/>
      <c r="JSD122" s="69"/>
      <c r="JSE122" s="69"/>
      <c r="JSF122" s="69"/>
      <c r="JSG122" s="69"/>
      <c r="JSH122" s="69"/>
      <c r="JSI122" s="69"/>
      <c r="JSJ122" s="69"/>
      <c r="JSK122" s="69"/>
      <c r="JSL122" s="69"/>
      <c r="JSM122" s="69"/>
      <c r="JSN122" s="69"/>
      <c r="JSO122" s="69"/>
      <c r="JSP122" s="69"/>
      <c r="JSQ122" s="69"/>
      <c r="JSR122" s="69"/>
      <c r="JSS122" s="69"/>
      <c r="JST122" s="69"/>
      <c r="JSU122" s="69"/>
      <c r="JSV122" s="69"/>
      <c r="JSW122" s="69"/>
      <c r="JSX122" s="69"/>
      <c r="JSY122" s="69"/>
      <c r="JSZ122" s="69"/>
      <c r="JTA122" s="69"/>
      <c r="JTB122" s="69"/>
      <c r="JTC122" s="69"/>
      <c r="JTD122" s="69"/>
      <c r="JTE122" s="69"/>
      <c r="JTF122" s="69"/>
      <c r="JTG122" s="69"/>
      <c r="JTH122" s="69"/>
      <c r="JTI122" s="69"/>
      <c r="JTJ122" s="69"/>
      <c r="JTK122" s="69"/>
      <c r="JTL122" s="69"/>
      <c r="JTM122" s="69"/>
      <c r="JTN122" s="69"/>
      <c r="JTO122" s="69"/>
      <c r="JTP122" s="69"/>
      <c r="JTQ122" s="69"/>
      <c r="JTR122" s="69"/>
      <c r="JTS122" s="69"/>
      <c r="JTT122" s="69"/>
      <c r="JTU122" s="69"/>
      <c r="JTV122" s="69"/>
      <c r="JTW122" s="69"/>
      <c r="JTX122" s="69"/>
      <c r="JTY122" s="69"/>
      <c r="JTZ122" s="69"/>
      <c r="JUA122" s="69"/>
      <c r="JUB122" s="69"/>
      <c r="JUC122" s="69"/>
      <c r="JUD122" s="69"/>
      <c r="JUE122" s="69"/>
      <c r="JUF122" s="69"/>
      <c r="JUG122" s="69"/>
      <c r="JUH122" s="69"/>
      <c r="JUI122" s="69"/>
      <c r="JUJ122" s="69"/>
      <c r="JUK122" s="69"/>
      <c r="JUL122" s="69"/>
      <c r="JUM122" s="69"/>
      <c r="JUN122" s="69"/>
      <c r="JUO122" s="69"/>
      <c r="JUP122" s="69"/>
      <c r="JUQ122" s="69"/>
      <c r="JUR122" s="69"/>
      <c r="JUS122" s="69"/>
      <c r="JUT122" s="69"/>
      <c r="JUU122" s="69"/>
      <c r="JUV122" s="69"/>
      <c r="JUW122" s="69"/>
      <c r="JUX122" s="69"/>
      <c r="JUY122" s="69"/>
      <c r="JUZ122" s="69"/>
      <c r="JVA122" s="69"/>
      <c r="JVB122" s="69"/>
      <c r="JVC122" s="69"/>
      <c r="JVD122" s="69"/>
      <c r="JVE122" s="69"/>
      <c r="JVF122" s="69"/>
      <c r="JVG122" s="69"/>
      <c r="JVH122" s="69"/>
      <c r="JVI122" s="69"/>
      <c r="JVJ122" s="69"/>
      <c r="JVK122" s="69"/>
      <c r="JVL122" s="69"/>
      <c r="JVM122" s="69"/>
      <c r="JVN122" s="69"/>
      <c r="JVO122" s="69"/>
      <c r="JVP122" s="69"/>
      <c r="JVQ122" s="69"/>
      <c r="JVR122" s="69"/>
      <c r="JVS122" s="69"/>
      <c r="JVT122" s="69"/>
      <c r="JVU122" s="69"/>
      <c r="JVV122" s="69"/>
      <c r="JVW122" s="69"/>
      <c r="JVX122" s="69"/>
      <c r="JVY122" s="69"/>
      <c r="JVZ122" s="69"/>
      <c r="JWA122" s="69"/>
      <c r="JWB122" s="69"/>
      <c r="JWC122" s="69"/>
      <c r="JWD122" s="69"/>
      <c r="JWE122" s="69"/>
      <c r="JWF122" s="69"/>
      <c r="JWG122" s="69"/>
      <c r="JWH122" s="69"/>
      <c r="JWI122" s="69"/>
      <c r="JWJ122" s="69"/>
      <c r="JWK122" s="69"/>
      <c r="JWL122" s="69"/>
      <c r="JWM122" s="69"/>
      <c r="JWN122" s="69"/>
      <c r="JWO122" s="69"/>
      <c r="JWP122" s="69"/>
      <c r="JWQ122" s="69"/>
      <c r="JWR122" s="69"/>
      <c r="JWS122" s="69"/>
      <c r="JWT122" s="69"/>
      <c r="JWU122" s="69"/>
      <c r="JWV122" s="69"/>
      <c r="JWW122" s="69"/>
      <c r="JWX122" s="69"/>
      <c r="JWY122" s="69"/>
      <c r="JWZ122" s="69"/>
      <c r="JXA122" s="69"/>
      <c r="JXB122" s="69"/>
      <c r="JXC122" s="69"/>
      <c r="JXD122" s="69"/>
      <c r="JXE122" s="69"/>
      <c r="JXF122" s="69"/>
      <c r="JXG122" s="69"/>
      <c r="JXH122" s="69"/>
      <c r="JXI122" s="69"/>
      <c r="JXJ122" s="69"/>
      <c r="JXK122" s="69"/>
      <c r="JXL122" s="69"/>
      <c r="JXM122" s="69"/>
      <c r="JXN122" s="69"/>
      <c r="JXO122" s="69"/>
      <c r="JXP122" s="69"/>
      <c r="JXQ122" s="69"/>
      <c r="JXR122" s="69"/>
      <c r="JXS122" s="69"/>
      <c r="JXT122" s="69"/>
      <c r="JXU122" s="69"/>
      <c r="JXV122" s="69"/>
      <c r="JXW122" s="69"/>
      <c r="JXX122" s="69"/>
      <c r="JXY122" s="69"/>
      <c r="JXZ122" s="69"/>
      <c r="JYA122" s="69"/>
      <c r="JYB122" s="69"/>
      <c r="JYC122" s="69"/>
      <c r="JYD122" s="69"/>
      <c r="JYE122" s="69"/>
      <c r="JYF122" s="69"/>
      <c r="JYG122" s="69"/>
      <c r="JYH122" s="69"/>
      <c r="JYI122" s="69"/>
      <c r="JYJ122" s="69"/>
      <c r="JYK122" s="69"/>
      <c r="JYL122" s="69"/>
      <c r="JYM122" s="69"/>
      <c r="JYN122" s="69"/>
      <c r="JYO122" s="69"/>
      <c r="JYP122" s="69"/>
      <c r="JYQ122" s="69"/>
      <c r="JYR122" s="69"/>
      <c r="JYS122" s="69"/>
      <c r="JYT122" s="69"/>
      <c r="JYU122" s="69"/>
      <c r="JYV122" s="69"/>
      <c r="JYW122" s="69"/>
      <c r="JYX122" s="69"/>
      <c r="JYY122" s="69"/>
      <c r="JYZ122" s="69"/>
      <c r="JZA122" s="69"/>
      <c r="JZB122" s="69"/>
      <c r="JZC122" s="69"/>
      <c r="JZD122" s="69"/>
      <c r="JZE122" s="69"/>
      <c r="JZF122" s="69"/>
      <c r="JZG122" s="69"/>
      <c r="JZH122" s="69"/>
      <c r="JZI122" s="69"/>
      <c r="JZJ122" s="69"/>
      <c r="JZK122" s="69"/>
      <c r="JZL122" s="69"/>
      <c r="JZM122" s="69"/>
      <c r="JZN122" s="69"/>
      <c r="JZO122" s="69"/>
      <c r="JZP122" s="69"/>
      <c r="JZQ122" s="69"/>
      <c r="JZR122" s="69"/>
      <c r="JZS122" s="69"/>
      <c r="JZT122" s="69"/>
      <c r="JZU122" s="69"/>
      <c r="JZV122" s="69"/>
      <c r="JZW122" s="69"/>
      <c r="JZX122" s="69"/>
      <c r="JZY122" s="69"/>
      <c r="JZZ122" s="69"/>
      <c r="KAA122" s="69"/>
      <c r="KAB122" s="69"/>
      <c r="KAC122" s="69"/>
      <c r="KAD122" s="69"/>
      <c r="KAE122" s="69"/>
      <c r="KAF122" s="69"/>
      <c r="KAG122" s="69"/>
      <c r="KAH122" s="69"/>
      <c r="KAI122" s="69"/>
      <c r="KAJ122" s="69"/>
      <c r="KAK122" s="69"/>
      <c r="KAL122" s="69"/>
      <c r="KAM122" s="69"/>
      <c r="KAN122" s="69"/>
      <c r="KAO122" s="69"/>
      <c r="KAP122" s="69"/>
      <c r="KAQ122" s="69"/>
      <c r="KAR122" s="69"/>
      <c r="KAS122" s="69"/>
      <c r="KAT122" s="69"/>
      <c r="KAU122" s="69"/>
      <c r="KAV122" s="69"/>
      <c r="KAW122" s="69"/>
      <c r="KAX122" s="69"/>
      <c r="KAY122" s="69"/>
      <c r="KAZ122" s="69"/>
      <c r="KBA122" s="69"/>
      <c r="KBB122" s="69"/>
      <c r="KBC122" s="69"/>
      <c r="KBD122" s="69"/>
      <c r="KBE122" s="69"/>
      <c r="KBF122" s="69"/>
      <c r="KBG122" s="69"/>
      <c r="KBH122" s="69"/>
      <c r="KBI122" s="69"/>
      <c r="KBJ122" s="69"/>
      <c r="KBK122" s="69"/>
      <c r="KBL122" s="69"/>
      <c r="KBM122" s="69"/>
      <c r="KBN122" s="69"/>
      <c r="KBO122" s="69"/>
      <c r="KBP122" s="69"/>
      <c r="KBQ122" s="69"/>
      <c r="KBR122" s="69"/>
      <c r="KBS122" s="69"/>
      <c r="KBT122" s="69"/>
      <c r="KBU122" s="69"/>
      <c r="KBV122" s="69"/>
      <c r="KBW122" s="69"/>
      <c r="KBX122" s="69"/>
      <c r="KBY122" s="69"/>
      <c r="KBZ122" s="69"/>
      <c r="KCA122" s="69"/>
      <c r="KCB122" s="69"/>
      <c r="KCC122" s="69"/>
      <c r="KCD122" s="69"/>
      <c r="KCE122" s="69"/>
      <c r="KCF122" s="69"/>
      <c r="KCG122" s="69"/>
      <c r="KCH122" s="69"/>
      <c r="KCI122" s="69"/>
      <c r="KCJ122" s="69"/>
      <c r="KCK122" s="69"/>
      <c r="KCL122" s="69"/>
      <c r="KCM122" s="69"/>
      <c r="KCN122" s="69"/>
      <c r="KCO122" s="69"/>
      <c r="KCP122" s="69"/>
      <c r="KCQ122" s="69"/>
      <c r="KCR122" s="69"/>
      <c r="KCS122" s="69"/>
      <c r="KCT122" s="69"/>
      <c r="KCU122" s="69"/>
      <c r="KCV122" s="69"/>
      <c r="KCW122" s="69"/>
      <c r="KCX122" s="69"/>
      <c r="KCY122" s="69"/>
      <c r="KCZ122" s="69"/>
      <c r="KDA122" s="69"/>
      <c r="KDB122" s="69"/>
      <c r="KDC122" s="69"/>
      <c r="KDD122" s="69"/>
      <c r="KDE122" s="69"/>
      <c r="KDF122" s="69"/>
      <c r="KDG122" s="69"/>
      <c r="KDH122" s="69"/>
      <c r="KDI122" s="69"/>
      <c r="KDJ122" s="69"/>
      <c r="KDK122" s="69"/>
      <c r="KDL122" s="69"/>
      <c r="KDM122" s="69"/>
      <c r="KDN122" s="69"/>
      <c r="KDO122" s="69"/>
      <c r="KDP122" s="69"/>
      <c r="KDQ122" s="69"/>
      <c r="KDR122" s="69"/>
      <c r="KDS122" s="69"/>
      <c r="KDT122" s="69"/>
      <c r="KDU122" s="69"/>
      <c r="KDV122" s="69"/>
      <c r="KDW122" s="69"/>
      <c r="KDX122" s="69"/>
      <c r="KDY122" s="69"/>
      <c r="KDZ122" s="69"/>
      <c r="KEA122" s="69"/>
      <c r="KEB122" s="69"/>
      <c r="KEC122" s="69"/>
      <c r="KED122" s="69"/>
      <c r="KEE122" s="69"/>
      <c r="KEF122" s="69"/>
      <c r="KEG122" s="69"/>
      <c r="KEH122" s="69"/>
      <c r="KEI122" s="69"/>
      <c r="KEJ122" s="69"/>
      <c r="KEK122" s="69"/>
      <c r="KEL122" s="69"/>
      <c r="KEM122" s="69"/>
      <c r="KEN122" s="69"/>
      <c r="KEO122" s="69"/>
      <c r="KEP122" s="69"/>
      <c r="KEQ122" s="69"/>
      <c r="KER122" s="69"/>
      <c r="KES122" s="69"/>
      <c r="KET122" s="69"/>
      <c r="KEU122" s="69"/>
      <c r="KEV122" s="69"/>
      <c r="KEW122" s="69"/>
      <c r="KEX122" s="69"/>
      <c r="KEY122" s="69"/>
      <c r="KEZ122" s="69"/>
      <c r="KFA122" s="69"/>
      <c r="KFB122" s="69"/>
      <c r="KFC122" s="69"/>
      <c r="KFD122" s="69"/>
      <c r="KFE122" s="69"/>
      <c r="KFF122" s="69"/>
      <c r="KFG122" s="69"/>
      <c r="KFH122" s="69"/>
      <c r="KFI122" s="69"/>
      <c r="KFJ122" s="69"/>
      <c r="KFK122" s="69"/>
      <c r="KFL122" s="69"/>
      <c r="KFM122" s="69"/>
      <c r="KFN122" s="69"/>
      <c r="KFO122" s="69"/>
      <c r="KFP122" s="69"/>
      <c r="KFQ122" s="69"/>
      <c r="KFR122" s="69"/>
      <c r="KFS122" s="69"/>
      <c r="KFT122" s="69"/>
      <c r="KFU122" s="69"/>
      <c r="KFV122" s="69"/>
      <c r="KFW122" s="69"/>
      <c r="KFX122" s="69"/>
      <c r="KFY122" s="69"/>
      <c r="KFZ122" s="69"/>
      <c r="KGA122" s="69"/>
      <c r="KGB122" s="69"/>
      <c r="KGC122" s="69"/>
      <c r="KGD122" s="69"/>
      <c r="KGE122" s="69"/>
      <c r="KGF122" s="69"/>
      <c r="KGG122" s="69"/>
      <c r="KGH122" s="69"/>
      <c r="KGI122" s="69"/>
      <c r="KGJ122" s="69"/>
      <c r="KGK122" s="69"/>
      <c r="KGL122" s="69"/>
      <c r="KGM122" s="69"/>
      <c r="KGN122" s="69"/>
      <c r="KGO122" s="69"/>
      <c r="KGP122" s="69"/>
      <c r="KGQ122" s="69"/>
      <c r="KGR122" s="69"/>
      <c r="KGS122" s="69"/>
      <c r="KGT122" s="69"/>
      <c r="KGU122" s="69"/>
      <c r="KGV122" s="69"/>
      <c r="KGW122" s="69"/>
      <c r="KGX122" s="69"/>
      <c r="KGY122" s="69"/>
      <c r="KGZ122" s="69"/>
      <c r="KHA122" s="69"/>
      <c r="KHB122" s="69"/>
      <c r="KHC122" s="69"/>
      <c r="KHD122" s="69"/>
      <c r="KHE122" s="69"/>
      <c r="KHF122" s="69"/>
      <c r="KHG122" s="69"/>
      <c r="KHH122" s="69"/>
      <c r="KHI122" s="69"/>
      <c r="KHJ122" s="69"/>
      <c r="KHK122" s="69"/>
      <c r="KHL122" s="69"/>
      <c r="KHM122" s="69"/>
      <c r="KHN122" s="69"/>
      <c r="KHO122" s="69"/>
      <c r="KHP122" s="69"/>
      <c r="KHQ122" s="69"/>
      <c r="KHR122" s="69"/>
      <c r="KHS122" s="69"/>
      <c r="KHT122" s="69"/>
      <c r="KHU122" s="69"/>
      <c r="KHV122" s="69"/>
      <c r="KHW122" s="69"/>
      <c r="KHX122" s="69"/>
      <c r="KHY122" s="69"/>
      <c r="KHZ122" s="69"/>
      <c r="KIA122" s="69"/>
      <c r="KIB122" s="69"/>
      <c r="KIC122" s="69"/>
      <c r="KID122" s="69"/>
      <c r="KIE122" s="69"/>
      <c r="KIF122" s="69"/>
      <c r="KIG122" s="69"/>
      <c r="KIH122" s="69"/>
      <c r="KII122" s="69"/>
      <c r="KIJ122" s="69"/>
      <c r="KIK122" s="69"/>
      <c r="KIL122" s="69"/>
      <c r="KIM122" s="69"/>
      <c r="KIN122" s="69"/>
      <c r="KIO122" s="69"/>
      <c r="KIP122" s="69"/>
      <c r="KIQ122" s="69"/>
      <c r="KIR122" s="69"/>
      <c r="KIS122" s="69"/>
      <c r="KIT122" s="69"/>
      <c r="KIU122" s="69"/>
      <c r="KIV122" s="69"/>
      <c r="KIW122" s="69"/>
      <c r="KIX122" s="69"/>
      <c r="KIY122" s="69"/>
      <c r="KIZ122" s="69"/>
      <c r="KJA122" s="69"/>
      <c r="KJB122" s="69"/>
      <c r="KJC122" s="69"/>
      <c r="KJD122" s="69"/>
      <c r="KJE122" s="69"/>
      <c r="KJF122" s="69"/>
      <c r="KJG122" s="69"/>
      <c r="KJH122" s="69"/>
      <c r="KJI122" s="69"/>
      <c r="KJJ122" s="69"/>
      <c r="KJK122" s="69"/>
      <c r="KJL122" s="69"/>
      <c r="KJM122" s="69"/>
      <c r="KJN122" s="69"/>
      <c r="KJO122" s="69"/>
      <c r="KJP122" s="69"/>
      <c r="KJQ122" s="69"/>
      <c r="KJR122" s="69"/>
      <c r="KJS122" s="69"/>
      <c r="KJT122" s="69"/>
      <c r="KJU122" s="69"/>
      <c r="KJV122" s="69"/>
      <c r="KJW122" s="69"/>
      <c r="KJX122" s="69"/>
      <c r="KJY122" s="69"/>
      <c r="KJZ122" s="69"/>
      <c r="KKA122" s="69"/>
      <c r="KKB122" s="69"/>
      <c r="KKC122" s="69"/>
      <c r="KKD122" s="69"/>
      <c r="KKE122" s="69"/>
      <c r="KKF122" s="69"/>
      <c r="KKG122" s="69"/>
      <c r="KKH122" s="69"/>
      <c r="KKI122" s="69"/>
      <c r="KKJ122" s="69"/>
      <c r="KKK122" s="69"/>
      <c r="KKL122" s="69"/>
      <c r="KKM122" s="69"/>
      <c r="KKN122" s="69"/>
      <c r="KKO122" s="69"/>
      <c r="KKP122" s="69"/>
      <c r="KKQ122" s="69"/>
      <c r="KKR122" s="69"/>
      <c r="KKS122" s="69"/>
      <c r="KKT122" s="69"/>
      <c r="KKU122" s="69"/>
      <c r="KKV122" s="69"/>
      <c r="KKW122" s="69"/>
      <c r="KKX122" s="69"/>
      <c r="KKY122" s="69"/>
      <c r="KKZ122" s="69"/>
      <c r="KLA122" s="69"/>
      <c r="KLB122" s="69"/>
      <c r="KLC122" s="69"/>
      <c r="KLD122" s="69"/>
      <c r="KLE122" s="69"/>
      <c r="KLF122" s="69"/>
      <c r="KLG122" s="69"/>
      <c r="KLH122" s="69"/>
      <c r="KLI122" s="69"/>
      <c r="KLJ122" s="69"/>
      <c r="KLK122" s="69"/>
      <c r="KLL122" s="69"/>
      <c r="KLM122" s="69"/>
      <c r="KLN122" s="69"/>
      <c r="KLO122" s="69"/>
      <c r="KLP122" s="69"/>
      <c r="KLQ122" s="69"/>
      <c r="KLR122" s="69"/>
      <c r="KLS122" s="69"/>
      <c r="KLT122" s="69"/>
      <c r="KLU122" s="69"/>
      <c r="KLV122" s="69"/>
      <c r="KLW122" s="69"/>
      <c r="KLX122" s="69"/>
      <c r="KLY122" s="69"/>
      <c r="KLZ122" s="69"/>
      <c r="KMA122" s="69"/>
      <c r="KMB122" s="69"/>
      <c r="KMC122" s="69"/>
      <c r="KMD122" s="69"/>
      <c r="KME122" s="69"/>
      <c r="KMF122" s="69"/>
      <c r="KMG122" s="69"/>
      <c r="KMH122" s="69"/>
      <c r="KMI122" s="69"/>
      <c r="KMJ122" s="69"/>
      <c r="KMK122" s="69"/>
      <c r="KML122" s="69"/>
      <c r="KMM122" s="69"/>
      <c r="KMN122" s="69"/>
      <c r="KMO122" s="69"/>
      <c r="KMP122" s="69"/>
      <c r="KMQ122" s="69"/>
      <c r="KMR122" s="69"/>
      <c r="KMS122" s="69"/>
      <c r="KMT122" s="69"/>
      <c r="KMU122" s="69"/>
      <c r="KMV122" s="69"/>
      <c r="KMW122" s="69"/>
      <c r="KMX122" s="69"/>
      <c r="KMY122" s="69"/>
      <c r="KMZ122" s="69"/>
      <c r="KNA122" s="69"/>
      <c r="KNB122" s="69"/>
      <c r="KNC122" s="69"/>
      <c r="KND122" s="69"/>
      <c r="KNE122" s="69"/>
      <c r="KNF122" s="69"/>
      <c r="KNG122" s="69"/>
      <c r="KNH122" s="69"/>
      <c r="KNI122" s="69"/>
      <c r="KNJ122" s="69"/>
      <c r="KNK122" s="69"/>
      <c r="KNL122" s="69"/>
      <c r="KNM122" s="69"/>
      <c r="KNN122" s="69"/>
      <c r="KNO122" s="69"/>
      <c r="KNP122" s="69"/>
      <c r="KNQ122" s="69"/>
      <c r="KNR122" s="69"/>
      <c r="KNS122" s="69"/>
      <c r="KNT122" s="69"/>
      <c r="KNU122" s="69"/>
      <c r="KNV122" s="69"/>
      <c r="KNW122" s="69"/>
      <c r="KNX122" s="69"/>
      <c r="KNY122" s="69"/>
      <c r="KNZ122" s="69"/>
      <c r="KOA122" s="69"/>
      <c r="KOB122" s="69"/>
      <c r="KOC122" s="69"/>
      <c r="KOD122" s="69"/>
      <c r="KOE122" s="69"/>
      <c r="KOF122" s="69"/>
      <c r="KOG122" s="69"/>
      <c r="KOH122" s="69"/>
      <c r="KOI122" s="69"/>
      <c r="KOJ122" s="69"/>
      <c r="KOK122" s="69"/>
      <c r="KOL122" s="69"/>
      <c r="KOM122" s="69"/>
      <c r="KON122" s="69"/>
      <c r="KOO122" s="69"/>
      <c r="KOP122" s="69"/>
      <c r="KOQ122" s="69"/>
      <c r="KOR122" s="69"/>
      <c r="KOS122" s="69"/>
      <c r="KOT122" s="69"/>
      <c r="KOU122" s="69"/>
      <c r="KOV122" s="69"/>
      <c r="KOW122" s="69"/>
      <c r="KOX122" s="69"/>
      <c r="KOY122" s="69"/>
      <c r="KOZ122" s="69"/>
      <c r="KPA122" s="69"/>
      <c r="KPB122" s="69"/>
      <c r="KPC122" s="69"/>
      <c r="KPD122" s="69"/>
      <c r="KPE122" s="69"/>
      <c r="KPF122" s="69"/>
      <c r="KPG122" s="69"/>
      <c r="KPH122" s="69"/>
      <c r="KPI122" s="69"/>
      <c r="KPJ122" s="69"/>
      <c r="KPK122" s="69"/>
      <c r="KPL122" s="69"/>
      <c r="KPM122" s="69"/>
      <c r="KPN122" s="69"/>
      <c r="KPO122" s="69"/>
      <c r="KPP122" s="69"/>
      <c r="KPQ122" s="69"/>
      <c r="KPR122" s="69"/>
      <c r="KPS122" s="69"/>
      <c r="KPT122" s="69"/>
      <c r="KPU122" s="69"/>
      <c r="KPV122" s="69"/>
      <c r="KPW122" s="69"/>
      <c r="KPX122" s="69"/>
      <c r="KPY122" s="69"/>
      <c r="KPZ122" s="69"/>
      <c r="KQA122" s="69"/>
      <c r="KQB122" s="69"/>
      <c r="KQC122" s="69"/>
      <c r="KQD122" s="69"/>
      <c r="KQE122" s="69"/>
      <c r="KQF122" s="69"/>
      <c r="KQG122" s="69"/>
      <c r="KQH122" s="69"/>
      <c r="KQI122" s="69"/>
      <c r="KQJ122" s="69"/>
      <c r="KQK122" s="69"/>
      <c r="KQL122" s="69"/>
      <c r="KQM122" s="69"/>
      <c r="KQN122" s="69"/>
      <c r="KQO122" s="69"/>
      <c r="KQP122" s="69"/>
      <c r="KQQ122" s="69"/>
      <c r="KQR122" s="69"/>
      <c r="KQS122" s="69"/>
      <c r="KQT122" s="69"/>
      <c r="KQU122" s="69"/>
      <c r="KQV122" s="69"/>
      <c r="KQW122" s="69"/>
      <c r="KQX122" s="69"/>
      <c r="KQY122" s="69"/>
      <c r="KQZ122" s="69"/>
      <c r="KRA122" s="69"/>
      <c r="KRB122" s="69"/>
      <c r="KRC122" s="69"/>
      <c r="KRD122" s="69"/>
      <c r="KRE122" s="69"/>
      <c r="KRF122" s="69"/>
      <c r="KRG122" s="69"/>
      <c r="KRH122" s="69"/>
      <c r="KRI122" s="69"/>
      <c r="KRJ122" s="69"/>
      <c r="KRK122" s="69"/>
      <c r="KRL122" s="69"/>
      <c r="KRM122" s="69"/>
      <c r="KRN122" s="69"/>
      <c r="KRO122" s="69"/>
      <c r="KRP122" s="69"/>
      <c r="KRQ122" s="69"/>
      <c r="KRR122" s="69"/>
      <c r="KRS122" s="69"/>
      <c r="KRT122" s="69"/>
      <c r="KRU122" s="69"/>
      <c r="KRV122" s="69"/>
      <c r="KRW122" s="69"/>
      <c r="KRX122" s="69"/>
      <c r="KRY122" s="69"/>
      <c r="KRZ122" s="69"/>
      <c r="KSA122" s="69"/>
      <c r="KSB122" s="69"/>
      <c r="KSC122" s="69"/>
      <c r="KSD122" s="69"/>
      <c r="KSE122" s="69"/>
      <c r="KSF122" s="69"/>
      <c r="KSG122" s="69"/>
      <c r="KSH122" s="69"/>
      <c r="KSI122" s="69"/>
      <c r="KSJ122" s="69"/>
      <c r="KSK122" s="69"/>
      <c r="KSL122" s="69"/>
      <c r="KSM122" s="69"/>
      <c r="KSN122" s="69"/>
      <c r="KSO122" s="69"/>
      <c r="KSP122" s="69"/>
      <c r="KSQ122" s="69"/>
      <c r="KSR122" s="69"/>
      <c r="KSS122" s="69"/>
      <c r="KST122" s="69"/>
      <c r="KSU122" s="69"/>
      <c r="KSV122" s="69"/>
      <c r="KSW122" s="69"/>
      <c r="KSX122" s="69"/>
      <c r="KSY122" s="69"/>
      <c r="KSZ122" s="69"/>
      <c r="KTA122" s="69"/>
      <c r="KTB122" s="69"/>
      <c r="KTC122" s="69"/>
      <c r="KTD122" s="69"/>
      <c r="KTE122" s="69"/>
      <c r="KTF122" s="69"/>
      <c r="KTG122" s="69"/>
      <c r="KTH122" s="69"/>
      <c r="KTI122" s="69"/>
      <c r="KTJ122" s="69"/>
      <c r="KTK122" s="69"/>
      <c r="KTL122" s="69"/>
      <c r="KTM122" s="69"/>
      <c r="KTN122" s="69"/>
      <c r="KTO122" s="69"/>
      <c r="KTP122" s="69"/>
      <c r="KTQ122" s="69"/>
      <c r="KTR122" s="69"/>
      <c r="KTS122" s="69"/>
      <c r="KTT122" s="69"/>
      <c r="KTU122" s="69"/>
      <c r="KTV122" s="69"/>
      <c r="KTW122" s="69"/>
      <c r="KTX122" s="69"/>
      <c r="KTY122" s="69"/>
      <c r="KTZ122" s="69"/>
      <c r="KUA122" s="69"/>
      <c r="KUB122" s="69"/>
      <c r="KUC122" s="69"/>
      <c r="KUD122" s="69"/>
      <c r="KUE122" s="69"/>
      <c r="KUF122" s="69"/>
      <c r="KUG122" s="69"/>
      <c r="KUH122" s="69"/>
      <c r="KUI122" s="69"/>
      <c r="KUJ122" s="69"/>
      <c r="KUK122" s="69"/>
      <c r="KUL122" s="69"/>
      <c r="KUM122" s="69"/>
      <c r="KUN122" s="69"/>
      <c r="KUO122" s="69"/>
      <c r="KUP122" s="69"/>
      <c r="KUQ122" s="69"/>
      <c r="KUR122" s="69"/>
      <c r="KUS122" s="69"/>
      <c r="KUT122" s="69"/>
      <c r="KUU122" s="69"/>
      <c r="KUV122" s="69"/>
      <c r="KUW122" s="69"/>
      <c r="KUX122" s="69"/>
      <c r="KUY122" s="69"/>
      <c r="KUZ122" s="69"/>
      <c r="KVA122" s="69"/>
      <c r="KVB122" s="69"/>
      <c r="KVC122" s="69"/>
      <c r="KVD122" s="69"/>
      <c r="KVE122" s="69"/>
      <c r="KVF122" s="69"/>
      <c r="KVG122" s="69"/>
      <c r="KVH122" s="69"/>
      <c r="KVI122" s="69"/>
      <c r="KVJ122" s="69"/>
      <c r="KVK122" s="69"/>
      <c r="KVL122" s="69"/>
      <c r="KVM122" s="69"/>
      <c r="KVN122" s="69"/>
      <c r="KVO122" s="69"/>
      <c r="KVP122" s="69"/>
      <c r="KVQ122" s="69"/>
      <c r="KVR122" s="69"/>
      <c r="KVS122" s="69"/>
      <c r="KVT122" s="69"/>
      <c r="KVU122" s="69"/>
      <c r="KVV122" s="69"/>
      <c r="KVW122" s="69"/>
      <c r="KVX122" s="69"/>
      <c r="KVY122" s="69"/>
      <c r="KVZ122" s="69"/>
      <c r="KWA122" s="69"/>
      <c r="KWB122" s="69"/>
      <c r="KWC122" s="69"/>
      <c r="KWD122" s="69"/>
      <c r="KWE122" s="69"/>
      <c r="KWF122" s="69"/>
      <c r="KWG122" s="69"/>
      <c r="KWH122" s="69"/>
      <c r="KWI122" s="69"/>
      <c r="KWJ122" s="69"/>
      <c r="KWK122" s="69"/>
      <c r="KWL122" s="69"/>
      <c r="KWM122" s="69"/>
      <c r="KWN122" s="69"/>
      <c r="KWO122" s="69"/>
      <c r="KWP122" s="69"/>
      <c r="KWQ122" s="69"/>
      <c r="KWR122" s="69"/>
      <c r="KWS122" s="69"/>
      <c r="KWT122" s="69"/>
      <c r="KWU122" s="69"/>
      <c r="KWV122" s="69"/>
      <c r="KWW122" s="69"/>
      <c r="KWX122" s="69"/>
      <c r="KWY122" s="69"/>
      <c r="KWZ122" s="69"/>
      <c r="KXA122" s="69"/>
      <c r="KXB122" s="69"/>
      <c r="KXC122" s="69"/>
      <c r="KXD122" s="69"/>
      <c r="KXE122" s="69"/>
      <c r="KXF122" s="69"/>
      <c r="KXG122" s="69"/>
      <c r="KXH122" s="69"/>
      <c r="KXI122" s="69"/>
      <c r="KXJ122" s="69"/>
      <c r="KXK122" s="69"/>
      <c r="KXL122" s="69"/>
      <c r="KXM122" s="69"/>
      <c r="KXN122" s="69"/>
      <c r="KXO122" s="69"/>
      <c r="KXP122" s="69"/>
      <c r="KXQ122" s="69"/>
      <c r="KXR122" s="69"/>
      <c r="KXS122" s="69"/>
      <c r="KXT122" s="69"/>
      <c r="KXU122" s="69"/>
      <c r="KXV122" s="69"/>
      <c r="KXW122" s="69"/>
      <c r="KXX122" s="69"/>
      <c r="KXY122" s="69"/>
      <c r="KXZ122" s="69"/>
      <c r="KYA122" s="69"/>
      <c r="KYB122" s="69"/>
      <c r="KYC122" s="69"/>
      <c r="KYD122" s="69"/>
      <c r="KYE122" s="69"/>
      <c r="KYF122" s="69"/>
      <c r="KYG122" s="69"/>
      <c r="KYH122" s="69"/>
      <c r="KYI122" s="69"/>
      <c r="KYJ122" s="69"/>
      <c r="KYK122" s="69"/>
      <c r="KYL122" s="69"/>
      <c r="KYM122" s="69"/>
      <c r="KYN122" s="69"/>
      <c r="KYO122" s="69"/>
      <c r="KYP122" s="69"/>
      <c r="KYQ122" s="69"/>
      <c r="KYR122" s="69"/>
      <c r="KYS122" s="69"/>
      <c r="KYT122" s="69"/>
      <c r="KYU122" s="69"/>
      <c r="KYV122" s="69"/>
      <c r="KYW122" s="69"/>
      <c r="KYX122" s="69"/>
      <c r="KYY122" s="69"/>
      <c r="KYZ122" s="69"/>
      <c r="KZA122" s="69"/>
      <c r="KZB122" s="69"/>
      <c r="KZC122" s="69"/>
      <c r="KZD122" s="69"/>
      <c r="KZE122" s="69"/>
      <c r="KZF122" s="69"/>
      <c r="KZG122" s="69"/>
      <c r="KZH122" s="69"/>
      <c r="KZI122" s="69"/>
      <c r="KZJ122" s="69"/>
      <c r="KZK122" s="69"/>
      <c r="KZL122" s="69"/>
      <c r="KZM122" s="69"/>
      <c r="KZN122" s="69"/>
      <c r="KZO122" s="69"/>
      <c r="KZP122" s="69"/>
      <c r="KZQ122" s="69"/>
      <c r="KZR122" s="69"/>
      <c r="KZS122" s="69"/>
      <c r="KZT122" s="69"/>
      <c r="KZU122" s="69"/>
      <c r="KZV122" s="69"/>
      <c r="KZW122" s="69"/>
      <c r="KZX122" s="69"/>
      <c r="KZY122" s="69"/>
      <c r="KZZ122" s="69"/>
      <c r="LAA122" s="69"/>
      <c r="LAB122" s="69"/>
      <c r="LAC122" s="69"/>
      <c r="LAD122" s="69"/>
      <c r="LAE122" s="69"/>
      <c r="LAF122" s="69"/>
      <c r="LAG122" s="69"/>
      <c r="LAH122" s="69"/>
      <c r="LAI122" s="69"/>
      <c r="LAJ122" s="69"/>
      <c r="LAK122" s="69"/>
      <c r="LAL122" s="69"/>
      <c r="LAM122" s="69"/>
      <c r="LAN122" s="69"/>
      <c r="LAO122" s="69"/>
      <c r="LAP122" s="69"/>
      <c r="LAQ122" s="69"/>
      <c r="LAR122" s="69"/>
      <c r="LAS122" s="69"/>
      <c r="LAT122" s="69"/>
      <c r="LAU122" s="69"/>
      <c r="LAV122" s="69"/>
      <c r="LAW122" s="69"/>
      <c r="LAX122" s="69"/>
      <c r="LAY122" s="69"/>
      <c r="LAZ122" s="69"/>
      <c r="LBA122" s="69"/>
      <c r="LBB122" s="69"/>
      <c r="LBC122" s="69"/>
      <c r="LBD122" s="69"/>
      <c r="LBE122" s="69"/>
      <c r="LBF122" s="69"/>
      <c r="LBG122" s="69"/>
      <c r="LBH122" s="69"/>
      <c r="LBI122" s="69"/>
      <c r="LBJ122" s="69"/>
      <c r="LBK122" s="69"/>
      <c r="LBL122" s="69"/>
      <c r="LBM122" s="69"/>
      <c r="LBN122" s="69"/>
      <c r="LBO122" s="69"/>
      <c r="LBP122" s="69"/>
      <c r="LBQ122" s="69"/>
      <c r="LBR122" s="69"/>
      <c r="LBS122" s="69"/>
      <c r="LBT122" s="69"/>
      <c r="LBU122" s="69"/>
      <c r="LBV122" s="69"/>
      <c r="LBW122" s="69"/>
      <c r="LBX122" s="69"/>
      <c r="LBY122" s="69"/>
      <c r="LBZ122" s="69"/>
      <c r="LCA122" s="69"/>
      <c r="LCB122" s="69"/>
      <c r="LCC122" s="69"/>
      <c r="LCD122" s="69"/>
      <c r="LCE122" s="69"/>
      <c r="LCF122" s="69"/>
      <c r="LCG122" s="69"/>
      <c r="LCH122" s="69"/>
      <c r="LCI122" s="69"/>
      <c r="LCJ122" s="69"/>
      <c r="LCK122" s="69"/>
      <c r="LCL122" s="69"/>
      <c r="LCM122" s="69"/>
      <c r="LCN122" s="69"/>
      <c r="LCO122" s="69"/>
      <c r="LCP122" s="69"/>
      <c r="LCQ122" s="69"/>
      <c r="LCR122" s="69"/>
      <c r="LCS122" s="69"/>
      <c r="LCT122" s="69"/>
      <c r="LCU122" s="69"/>
      <c r="LCV122" s="69"/>
      <c r="LCW122" s="69"/>
      <c r="LCX122" s="69"/>
      <c r="LCY122" s="69"/>
      <c r="LCZ122" s="69"/>
      <c r="LDA122" s="69"/>
      <c r="LDB122" s="69"/>
      <c r="LDC122" s="69"/>
      <c r="LDD122" s="69"/>
      <c r="LDE122" s="69"/>
      <c r="LDF122" s="69"/>
      <c r="LDG122" s="69"/>
      <c r="LDH122" s="69"/>
      <c r="LDI122" s="69"/>
      <c r="LDJ122" s="69"/>
      <c r="LDK122" s="69"/>
      <c r="LDL122" s="69"/>
      <c r="LDM122" s="69"/>
      <c r="LDN122" s="69"/>
      <c r="LDO122" s="69"/>
      <c r="LDP122" s="69"/>
      <c r="LDQ122" s="69"/>
      <c r="LDR122" s="69"/>
      <c r="LDS122" s="69"/>
      <c r="LDT122" s="69"/>
      <c r="LDU122" s="69"/>
      <c r="LDV122" s="69"/>
      <c r="LDW122" s="69"/>
      <c r="LDX122" s="69"/>
      <c r="LDY122" s="69"/>
      <c r="LDZ122" s="69"/>
      <c r="LEA122" s="69"/>
      <c r="LEB122" s="69"/>
      <c r="LEC122" s="69"/>
      <c r="LED122" s="69"/>
      <c r="LEE122" s="69"/>
      <c r="LEF122" s="69"/>
      <c r="LEG122" s="69"/>
      <c r="LEH122" s="69"/>
      <c r="LEI122" s="69"/>
      <c r="LEJ122" s="69"/>
      <c r="LEK122" s="69"/>
      <c r="LEL122" s="69"/>
      <c r="LEM122" s="69"/>
      <c r="LEN122" s="69"/>
      <c r="LEO122" s="69"/>
      <c r="LEP122" s="69"/>
      <c r="LEQ122" s="69"/>
      <c r="LER122" s="69"/>
      <c r="LES122" s="69"/>
      <c r="LET122" s="69"/>
      <c r="LEU122" s="69"/>
      <c r="LEV122" s="69"/>
      <c r="LEW122" s="69"/>
      <c r="LEX122" s="69"/>
      <c r="LEY122" s="69"/>
      <c r="LEZ122" s="69"/>
      <c r="LFA122" s="69"/>
      <c r="LFB122" s="69"/>
      <c r="LFC122" s="69"/>
      <c r="LFD122" s="69"/>
      <c r="LFE122" s="69"/>
      <c r="LFF122" s="69"/>
      <c r="LFG122" s="69"/>
      <c r="LFH122" s="69"/>
      <c r="LFI122" s="69"/>
      <c r="LFJ122" s="69"/>
      <c r="LFK122" s="69"/>
      <c r="LFL122" s="69"/>
      <c r="LFM122" s="69"/>
      <c r="LFN122" s="69"/>
      <c r="LFO122" s="69"/>
      <c r="LFP122" s="69"/>
      <c r="LFQ122" s="69"/>
      <c r="LFR122" s="69"/>
      <c r="LFS122" s="69"/>
      <c r="LFT122" s="69"/>
      <c r="LFU122" s="69"/>
      <c r="LFV122" s="69"/>
      <c r="LFW122" s="69"/>
      <c r="LFX122" s="69"/>
      <c r="LFY122" s="69"/>
      <c r="LFZ122" s="69"/>
      <c r="LGA122" s="69"/>
      <c r="LGB122" s="69"/>
      <c r="LGC122" s="69"/>
      <c r="LGD122" s="69"/>
      <c r="LGE122" s="69"/>
      <c r="LGF122" s="69"/>
      <c r="LGG122" s="69"/>
      <c r="LGH122" s="69"/>
      <c r="LGI122" s="69"/>
      <c r="LGJ122" s="69"/>
      <c r="LGK122" s="69"/>
      <c r="LGL122" s="69"/>
      <c r="LGM122" s="69"/>
      <c r="LGN122" s="69"/>
      <c r="LGO122" s="69"/>
      <c r="LGP122" s="69"/>
      <c r="LGQ122" s="69"/>
      <c r="LGR122" s="69"/>
      <c r="LGS122" s="69"/>
      <c r="LGT122" s="69"/>
      <c r="LGU122" s="69"/>
      <c r="LGV122" s="69"/>
      <c r="LGW122" s="69"/>
      <c r="LGX122" s="69"/>
      <c r="LGY122" s="69"/>
      <c r="LGZ122" s="69"/>
      <c r="LHA122" s="69"/>
      <c r="LHB122" s="69"/>
      <c r="LHC122" s="69"/>
      <c r="LHD122" s="69"/>
      <c r="LHE122" s="69"/>
      <c r="LHF122" s="69"/>
      <c r="LHG122" s="69"/>
      <c r="LHH122" s="69"/>
      <c r="LHI122" s="69"/>
      <c r="LHJ122" s="69"/>
      <c r="LHK122" s="69"/>
      <c r="LHL122" s="69"/>
      <c r="LHM122" s="69"/>
      <c r="LHN122" s="69"/>
      <c r="LHO122" s="69"/>
      <c r="LHP122" s="69"/>
      <c r="LHQ122" s="69"/>
      <c r="LHR122" s="69"/>
      <c r="LHS122" s="69"/>
      <c r="LHT122" s="69"/>
      <c r="LHU122" s="69"/>
      <c r="LHV122" s="69"/>
      <c r="LHW122" s="69"/>
      <c r="LHX122" s="69"/>
      <c r="LHY122" s="69"/>
      <c r="LHZ122" s="69"/>
      <c r="LIA122" s="69"/>
      <c r="LIB122" s="69"/>
      <c r="LIC122" s="69"/>
      <c r="LID122" s="69"/>
      <c r="LIE122" s="69"/>
      <c r="LIF122" s="69"/>
      <c r="LIG122" s="69"/>
      <c r="LIH122" s="69"/>
      <c r="LII122" s="69"/>
      <c r="LIJ122" s="69"/>
      <c r="LIK122" s="69"/>
      <c r="LIL122" s="69"/>
      <c r="LIM122" s="69"/>
      <c r="LIN122" s="69"/>
      <c r="LIO122" s="69"/>
      <c r="LIP122" s="69"/>
      <c r="LIQ122" s="69"/>
      <c r="LIR122" s="69"/>
      <c r="LIS122" s="69"/>
      <c r="LIT122" s="69"/>
      <c r="LIU122" s="69"/>
      <c r="LIV122" s="69"/>
      <c r="LIW122" s="69"/>
      <c r="LIX122" s="69"/>
      <c r="LIY122" s="69"/>
      <c r="LIZ122" s="69"/>
      <c r="LJA122" s="69"/>
      <c r="LJB122" s="69"/>
      <c r="LJC122" s="69"/>
      <c r="LJD122" s="69"/>
      <c r="LJE122" s="69"/>
      <c r="LJF122" s="69"/>
      <c r="LJG122" s="69"/>
      <c r="LJH122" s="69"/>
      <c r="LJI122" s="69"/>
      <c r="LJJ122" s="69"/>
      <c r="LJK122" s="69"/>
      <c r="LJL122" s="69"/>
      <c r="LJM122" s="69"/>
      <c r="LJN122" s="69"/>
      <c r="LJO122" s="69"/>
      <c r="LJP122" s="69"/>
      <c r="LJQ122" s="69"/>
      <c r="LJR122" s="69"/>
      <c r="LJS122" s="69"/>
      <c r="LJT122" s="69"/>
      <c r="LJU122" s="69"/>
      <c r="LJV122" s="69"/>
      <c r="LJW122" s="69"/>
      <c r="LJX122" s="69"/>
      <c r="LJY122" s="69"/>
      <c r="LJZ122" s="69"/>
      <c r="LKA122" s="69"/>
      <c r="LKB122" s="69"/>
      <c r="LKC122" s="69"/>
      <c r="LKD122" s="69"/>
      <c r="LKE122" s="69"/>
      <c r="LKF122" s="69"/>
      <c r="LKG122" s="69"/>
      <c r="LKH122" s="69"/>
      <c r="LKI122" s="69"/>
      <c r="LKJ122" s="69"/>
      <c r="LKK122" s="69"/>
      <c r="LKL122" s="69"/>
      <c r="LKM122" s="69"/>
      <c r="LKN122" s="69"/>
      <c r="LKO122" s="69"/>
      <c r="LKP122" s="69"/>
      <c r="LKQ122" s="69"/>
      <c r="LKR122" s="69"/>
      <c r="LKS122" s="69"/>
      <c r="LKT122" s="69"/>
      <c r="LKU122" s="69"/>
      <c r="LKV122" s="69"/>
      <c r="LKW122" s="69"/>
      <c r="LKX122" s="69"/>
      <c r="LKY122" s="69"/>
      <c r="LKZ122" s="69"/>
      <c r="LLA122" s="69"/>
      <c r="LLB122" s="69"/>
      <c r="LLC122" s="69"/>
      <c r="LLD122" s="69"/>
      <c r="LLE122" s="69"/>
      <c r="LLF122" s="69"/>
      <c r="LLG122" s="69"/>
      <c r="LLH122" s="69"/>
      <c r="LLI122" s="69"/>
      <c r="LLJ122" s="69"/>
      <c r="LLK122" s="69"/>
      <c r="LLL122" s="69"/>
      <c r="LLM122" s="69"/>
      <c r="LLN122" s="69"/>
      <c r="LLO122" s="69"/>
      <c r="LLP122" s="69"/>
      <c r="LLQ122" s="69"/>
      <c r="LLR122" s="69"/>
      <c r="LLS122" s="69"/>
      <c r="LLT122" s="69"/>
      <c r="LLU122" s="69"/>
      <c r="LLV122" s="69"/>
      <c r="LLW122" s="69"/>
      <c r="LLX122" s="69"/>
      <c r="LLY122" s="69"/>
      <c r="LLZ122" s="69"/>
      <c r="LMA122" s="69"/>
      <c r="LMB122" s="69"/>
      <c r="LMC122" s="69"/>
      <c r="LMD122" s="69"/>
      <c r="LME122" s="69"/>
      <c r="LMF122" s="69"/>
      <c r="LMG122" s="69"/>
      <c r="LMH122" s="69"/>
      <c r="LMI122" s="69"/>
      <c r="LMJ122" s="69"/>
      <c r="LMK122" s="69"/>
      <c r="LML122" s="69"/>
      <c r="LMM122" s="69"/>
      <c r="LMN122" s="69"/>
      <c r="LMO122" s="69"/>
      <c r="LMP122" s="69"/>
      <c r="LMQ122" s="69"/>
      <c r="LMR122" s="69"/>
      <c r="LMS122" s="69"/>
      <c r="LMT122" s="69"/>
      <c r="LMU122" s="69"/>
      <c r="LMV122" s="69"/>
      <c r="LMW122" s="69"/>
      <c r="LMX122" s="69"/>
      <c r="LMY122" s="69"/>
      <c r="LMZ122" s="69"/>
      <c r="LNA122" s="69"/>
      <c r="LNB122" s="69"/>
      <c r="LNC122" s="69"/>
      <c r="LND122" s="69"/>
      <c r="LNE122" s="69"/>
      <c r="LNF122" s="69"/>
      <c r="LNG122" s="69"/>
      <c r="LNH122" s="69"/>
      <c r="LNI122" s="69"/>
      <c r="LNJ122" s="69"/>
      <c r="LNK122" s="69"/>
      <c r="LNL122" s="69"/>
      <c r="LNM122" s="69"/>
      <c r="LNN122" s="69"/>
      <c r="LNO122" s="69"/>
      <c r="LNP122" s="69"/>
      <c r="LNQ122" s="69"/>
      <c r="LNR122" s="69"/>
      <c r="LNS122" s="69"/>
      <c r="LNT122" s="69"/>
      <c r="LNU122" s="69"/>
      <c r="LNV122" s="69"/>
      <c r="LNW122" s="69"/>
      <c r="LNX122" s="69"/>
      <c r="LNY122" s="69"/>
      <c r="LNZ122" s="69"/>
      <c r="LOA122" s="69"/>
      <c r="LOB122" s="69"/>
      <c r="LOC122" s="69"/>
      <c r="LOD122" s="69"/>
      <c r="LOE122" s="69"/>
      <c r="LOF122" s="69"/>
      <c r="LOG122" s="69"/>
      <c r="LOH122" s="69"/>
      <c r="LOI122" s="69"/>
      <c r="LOJ122" s="69"/>
      <c r="LOK122" s="69"/>
      <c r="LOL122" s="69"/>
      <c r="LOM122" s="69"/>
      <c r="LON122" s="69"/>
      <c r="LOO122" s="69"/>
      <c r="LOP122" s="69"/>
      <c r="LOQ122" s="69"/>
      <c r="LOR122" s="69"/>
      <c r="LOS122" s="69"/>
      <c r="LOT122" s="69"/>
      <c r="LOU122" s="69"/>
      <c r="LOV122" s="69"/>
      <c r="LOW122" s="69"/>
      <c r="LOX122" s="69"/>
      <c r="LOY122" s="69"/>
      <c r="LOZ122" s="69"/>
      <c r="LPA122" s="69"/>
      <c r="LPB122" s="69"/>
      <c r="LPC122" s="69"/>
      <c r="LPD122" s="69"/>
      <c r="LPE122" s="69"/>
      <c r="LPF122" s="69"/>
      <c r="LPG122" s="69"/>
      <c r="LPH122" s="69"/>
      <c r="LPI122" s="69"/>
      <c r="LPJ122" s="69"/>
      <c r="LPK122" s="69"/>
      <c r="LPL122" s="69"/>
      <c r="LPM122" s="69"/>
      <c r="LPN122" s="69"/>
      <c r="LPO122" s="69"/>
      <c r="LPP122" s="69"/>
      <c r="LPQ122" s="69"/>
      <c r="LPR122" s="69"/>
      <c r="LPS122" s="69"/>
      <c r="LPT122" s="69"/>
      <c r="LPU122" s="69"/>
      <c r="LPV122" s="69"/>
      <c r="LPW122" s="69"/>
      <c r="LPX122" s="69"/>
      <c r="LPY122" s="69"/>
      <c r="LPZ122" s="69"/>
      <c r="LQA122" s="69"/>
      <c r="LQB122" s="69"/>
      <c r="LQC122" s="69"/>
      <c r="LQD122" s="69"/>
      <c r="LQE122" s="69"/>
      <c r="LQF122" s="69"/>
      <c r="LQG122" s="69"/>
      <c r="LQH122" s="69"/>
      <c r="LQI122" s="69"/>
      <c r="LQJ122" s="69"/>
      <c r="LQK122" s="69"/>
      <c r="LQL122" s="69"/>
      <c r="LQM122" s="69"/>
      <c r="LQN122" s="69"/>
      <c r="LQO122" s="69"/>
      <c r="LQP122" s="69"/>
      <c r="LQQ122" s="69"/>
      <c r="LQR122" s="69"/>
      <c r="LQS122" s="69"/>
      <c r="LQT122" s="69"/>
      <c r="LQU122" s="69"/>
      <c r="LQV122" s="69"/>
      <c r="LQW122" s="69"/>
      <c r="LQX122" s="69"/>
      <c r="LQY122" s="69"/>
      <c r="LQZ122" s="69"/>
      <c r="LRA122" s="69"/>
      <c r="LRB122" s="69"/>
      <c r="LRC122" s="69"/>
      <c r="LRD122" s="69"/>
      <c r="LRE122" s="69"/>
      <c r="LRF122" s="69"/>
      <c r="LRG122" s="69"/>
      <c r="LRH122" s="69"/>
      <c r="LRI122" s="69"/>
      <c r="LRJ122" s="69"/>
      <c r="LRK122" s="69"/>
      <c r="LRL122" s="69"/>
      <c r="LRM122" s="69"/>
      <c r="LRN122" s="69"/>
      <c r="LRO122" s="69"/>
      <c r="LRP122" s="69"/>
      <c r="LRQ122" s="69"/>
      <c r="LRR122" s="69"/>
      <c r="LRS122" s="69"/>
      <c r="LRT122" s="69"/>
      <c r="LRU122" s="69"/>
      <c r="LRV122" s="69"/>
      <c r="LRW122" s="69"/>
      <c r="LRX122" s="69"/>
      <c r="LRY122" s="69"/>
      <c r="LRZ122" s="69"/>
      <c r="LSA122" s="69"/>
      <c r="LSB122" s="69"/>
      <c r="LSC122" s="69"/>
      <c r="LSD122" s="69"/>
      <c r="LSE122" s="69"/>
      <c r="LSF122" s="69"/>
      <c r="LSG122" s="69"/>
      <c r="LSH122" s="69"/>
      <c r="LSI122" s="69"/>
      <c r="LSJ122" s="69"/>
      <c r="LSK122" s="69"/>
      <c r="LSL122" s="69"/>
      <c r="LSM122" s="69"/>
      <c r="LSN122" s="69"/>
      <c r="LSO122" s="69"/>
      <c r="LSP122" s="69"/>
      <c r="LSQ122" s="69"/>
      <c r="LSR122" s="69"/>
      <c r="LSS122" s="69"/>
      <c r="LST122" s="69"/>
      <c r="LSU122" s="69"/>
      <c r="LSV122" s="69"/>
      <c r="LSW122" s="69"/>
      <c r="LSX122" s="69"/>
      <c r="LSY122" s="69"/>
      <c r="LSZ122" s="69"/>
      <c r="LTA122" s="69"/>
      <c r="LTB122" s="69"/>
      <c r="LTC122" s="69"/>
      <c r="LTD122" s="69"/>
      <c r="LTE122" s="69"/>
      <c r="LTF122" s="69"/>
      <c r="LTG122" s="69"/>
      <c r="LTH122" s="69"/>
      <c r="LTI122" s="69"/>
      <c r="LTJ122" s="69"/>
      <c r="LTK122" s="69"/>
      <c r="LTL122" s="69"/>
      <c r="LTM122" s="69"/>
      <c r="LTN122" s="69"/>
      <c r="LTO122" s="69"/>
      <c r="LTP122" s="69"/>
      <c r="LTQ122" s="69"/>
      <c r="LTR122" s="69"/>
      <c r="LTS122" s="69"/>
      <c r="LTT122" s="69"/>
      <c r="LTU122" s="69"/>
      <c r="LTV122" s="69"/>
      <c r="LTW122" s="69"/>
      <c r="LTX122" s="69"/>
      <c r="LTY122" s="69"/>
      <c r="LTZ122" s="69"/>
      <c r="LUA122" s="69"/>
      <c r="LUB122" s="69"/>
      <c r="LUC122" s="69"/>
      <c r="LUD122" s="69"/>
      <c r="LUE122" s="69"/>
      <c r="LUF122" s="69"/>
      <c r="LUG122" s="69"/>
      <c r="LUH122" s="69"/>
      <c r="LUI122" s="69"/>
      <c r="LUJ122" s="69"/>
      <c r="LUK122" s="69"/>
      <c r="LUL122" s="69"/>
      <c r="LUM122" s="69"/>
      <c r="LUN122" s="69"/>
      <c r="LUO122" s="69"/>
      <c r="LUP122" s="69"/>
      <c r="LUQ122" s="69"/>
      <c r="LUR122" s="69"/>
      <c r="LUS122" s="69"/>
      <c r="LUT122" s="69"/>
      <c r="LUU122" s="69"/>
      <c r="LUV122" s="69"/>
      <c r="LUW122" s="69"/>
      <c r="LUX122" s="69"/>
      <c r="LUY122" s="69"/>
      <c r="LUZ122" s="69"/>
      <c r="LVA122" s="69"/>
      <c r="LVB122" s="69"/>
      <c r="LVC122" s="69"/>
      <c r="LVD122" s="69"/>
      <c r="LVE122" s="69"/>
      <c r="LVF122" s="69"/>
      <c r="LVG122" s="69"/>
      <c r="LVH122" s="69"/>
      <c r="LVI122" s="69"/>
      <c r="LVJ122" s="69"/>
      <c r="LVK122" s="69"/>
      <c r="LVL122" s="69"/>
      <c r="LVM122" s="69"/>
      <c r="LVN122" s="69"/>
      <c r="LVO122" s="69"/>
      <c r="LVP122" s="69"/>
      <c r="LVQ122" s="69"/>
      <c r="LVR122" s="69"/>
      <c r="LVS122" s="69"/>
      <c r="LVT122" s="69"/>
      <c r="LVU122" s="69"/>
      <c r="LVV122" s="69"/>
      <c r="LVW122" s="69"/>
      <c r="LVX122" s="69"/>
      <c r="LVY122" s="69"/>
      <c r="LVZ122" s="69"/>
      <c r="LWA122" s="69"/>
      <c r="LWB122" s="69"/>
      <c r="LWC122" s="69"/>
      <c r="LWD122" s="69"/>
      <c r="LWE122" s="69"/>
      <c r="LWF122" s="69"/>
      <c r="LWG122" s="69"/>
      <c r="LWH122" s="69"/>
      <c r="LWI122" s="69"/>
      <c r="LWJ122" s="69"/>
      <c r="LWK122" s="69"/>
      <c r="LWL122" s="69"/>
      <c r="LWM122" s="69"/>
      <c r="LWN122" s="69"/>
      <c r="LWO122" s="69"/>
      <c r="LWP122" s="69"/>
      <c r="LWQ122" s="69"/>
      <c r="LWR122" s="69"/>
      <c r="LWS122" s="69"/>
      <c r="LWT122" s="69"/>
      <c r="LWU122" s="69"/>
      <c r="LWV122" s="69"/>
      <c r="LWW122" s="69"/>
      <c r="LWX122" s="69"/>
      <c r="LWY122" s="69"/>
      <c r="LWZ122" s="69"/>
      <c r="LXA122" s="69"/>
      <c r="LXB122" s="69"/>
      <c r="LXC122" s="69"/>
      <c r="LXD122" s="69"/>
      <c r="LXE122" s="69"/>
      <c r="LXF122" s="69"/>
      <c r="LXG122" s="69"/>
      <c r="LXH122" s="69"/>
      <c r="LXI122" s="69"/>
      <c r="LXJ122" s="69"/>
      <c r="LXK122" s="69"/>
      <c r="LXL122" s="69"/>
      <c r="LXM122" s="69"/>
      <c r="LXN122" s="69"/>
      <c r="LXO122" s="69"/>
      <c r="LXP122" s="69"/>
      <c r="LXQ122" s="69"/>
      <c r="LXR122" s="69"/>
      <c r="LXS122" s="69"/>
      <c r="LXT122" s="69"/>
      <c r="LXU122" s="69"/>
      <c r="LXV122" s="69"/>
      <c r="LXW122" s="69"/>
      <c r="LXX122" s="69"/>
      <c r="LXY122" s="69"/>
      <c r="LXZ122" s="69"/>
      <c r="LYA122" s="69"/>
      <c r="LYB122" s="69"/>
      <c r="LYC122" s="69"/>
      <c r="LYD122" s="69"/>
      <c r="LYE122" s="69"/>
      <c r="LYF122" s="69"/>
      <c r="LYG122" s="69"/>
      <c r="LYH122" s="69"/>
      <c r="LYI122" s="69"/>
      <c r="LYJ122" s="69"/>
      <c r="LYK122" s="69"/>
      <c r="LYL122" s="69"/>
      <c r="LYM122" s="69"/>
      <c r="LYN122" s="69"/>
      <c r="LYO122" s="69"/>
      <c r="LYP122" s="69"/>
      <c r="LYQ122" s="69"/>
      <c r="LYR122" s="69"/>
      <c r="LYS122" s="69"/>
      <c r="LYT122" s="69"/>
      <c r="LYU122" s="69"/>
      <c r="LYV122" s="69"/>
      <c r="LYW122" s="69"/>
      <c r="LYX122" s="69"/>
      <c r="LYY122" s="69"/>
      <c r="LYZ122" s="69"/>
      <c r="LZA122" s="69"/>
      <c r="LZB122" s="69"/>
      <c r="LZC122" s="69"/>
      <c r="LZD122" s="69"/>
      <c r="LZE122" s="69"/>
      <c r="LZF122" s="69"/>
      <c r="LZG122" s="69"/>
      <c r="LZH122" s="69"/>
      <c r="LZI122" s="69"/>
      <c r="LZJ122" s="69"/>
      <c r="LZK122" s="69"/>
      <c r="LZL122" s="69"/>
      <c r="LZM122" s="69"/>
      <c r="LZN122" s="69"/>
      <c r="LZO122" s="69"/>
      <c r="LZP122" s="69"/>
      <c r="LZQ122" s="69"/>
      <c r="LZR122" s="69"/>
      <c r="LZS122" s="69"/>
      <c r="LZT122" s="69"/>
      <c r="LZU122" s="69"/>
      <c r="LZV122" s="69"/>
      <c r="LZW122" s="69"/>
      <c r="LZX122" s="69"/>
      <c r="LZY122" s="69"/>
      <c r="LZZ122" s="69"/>
      <c r="MAA122" s="69"/>
      <c r="MAB122" s="69"/>
      <c r="MAC122" s="69"/>
      <c r="MAD122" s="69"/>
      <c r="MAE122" s="69"/>
      <c r="MAF122" s="69"/>
      <c r="MAG122" s="69"/>
      <c r="MAH122" s="69"/>
      <c r="MAI122" s="69"/>
      <c r="MAJ122" s="69"/>
      <c r="MAK122" s="69"/>
      <c r="MAL122" s="69"/>
      <c r="MAM122" s="69"/>
      <c r="MAN122" s="69"/>
      <c r="MAO122" s="69"/>
      <c r="MAP122" s="69"/>
      <c r="MAQ122" s="69"/>
      <c r="MAR122" s="69"/>
      <c r="MAS122" s="69"/>
      <c r="MAT122" s="69"/>
      <c r="MAU122" s="69"/>
      <c r="MAV122" s="69"/>
      <c r="MAW122" s="69"/>
      <c r="MAX122" s="69"/>
      <c r="MAY122" s="69"/>
      <c r="MAZ122" s="69"/>
      <c r="MBA122" s="69"/>
      <c r="MBB122" s="69"/>
      <c r="MBC122" s="69"/>
      <c r="MBD122" s="69"/>
      <c r="MBE122" s="69"/>
      <c r="MBF122" s="69"/>
      <c r="MBG122" s="69"/>
      <c r="MBH122" s="69"/>
      <c r="MBI122" s="69"/>
      <c r="MBJ122" s="69"/>
      <c r="MBK122" s="69"/>
      <c r="MBL122" s="69"/>
      <c r="MBM122" s="69"/>
      <c r="MBN122" s="69"/>
      <c r="MBO122" s="69"/>
      <c r="MBP122" s="69"/>
      <c r="MBQ122" s="69"/>
      <c r="MBR122" s="69"/>
      <c r="MBS122" s="69"/>
      <c r="MBT122" s="69"/>
      <c r="MBU122" s="69"/>
      <c r="MBV122" s="69"/>
      <c r="MBW122" s="69"/>
      <c r="MBX122" s="69"/>
      <c r="MBY122" s="69"/>
      <c r="MBZ122" s="69"/>
      <c r="MCA122" s="69"/>
      <c r="MCB122" s="69"/>
      <c r="MCC122" s="69"/>
      <c r="MCD122" s="69"/>
      <c r="MCE122" s="69"/>
      <c r="MCF122" s="69"/>
      <c r="MCG122" s="69"/>
      <c r="MCH122" s="69"/>
      <c r="MCI122" s="69"/>
      <c r="MCJ122" s="69"/>
      <c r="MCK122" s="69"/>
      <c r="MCL122" s="69"/>
      <c r="MCM122" s="69"/>
      <c r="MCN122" s="69"/>
      <c r="MCO122" s="69"/>
      <c r="MCP122" s="69"/>
      <c r="MCQ122" s="69"/>
      <c r="MCR122" s="69"/>
      <c r="MCS122" s="69"/>
      <c r="MCT122" s="69"/>
      <c r="MCU122" s="69"/>
      <c r="MCV122" s="69"/>
      <c r="MCW122" s="69"/>
      <c r="MCX122" s="69"/>
      <c r="MCY122" s="69"/>
      <c r="MCZ122" s="69"/>
      <c r="MDA122" s="69"/>
      <c r="MDB122" s="69"/>
      <c r="MDC122" s="69"/>
      <c r="MDD122" s="69"/>
      <c r="MDE122" s="69"/>
      <c r="MDF122" s="69"/>
      <c r="MDG122" s="69"/>
      <c r="MDH122" s="69"/>
      <c r="MDI122" s="69"/>
      <c r="MDJ122" s="69"/>
      <c r="MDK122" s="69"/>
      <c r="MDL122" s="69"/>
      <c r="MDM122" s="69"/>
      <c r="MDN122" s="69"/>
      <c r="MDO122" s="69"/>
      <c r="MDP122" s="69"/>
      <c r="MDQ122" s="69"/>
      <c r="MDR122" s="69"/>
      <c r="MDS122" s="69"/>
      <c r="MDT122" s="69"/>
      <c r="MDU122" s="69"/>
      <c r="MDV122" s="69"/>
      <c r="MDW122" s="69"/>
      <c r="MDX122" s="69"/>
      <c r="MDY122" s="69"/>
      <c r="MDZ122" s="69"/>
      <c r="MEA122" s="69"/>
      <c r="MEB122" s="69"/>
      <c r="MEC122" s="69"/>
      <c r="MED122" s="69"/>
      <c r="MEE122" s="69"/>
      <c r="MEF122" s="69"/>
      <c r="MEG122" s="69"/>
      <c r="MEH122" s="69"/>
      <c r="MEI122" s="69"/>
      <c r="MEJ122" s="69"/>
      <c r="MEK122" s="69"/>
      <c r="MEL122" s="69"/>
      <c r="MEM122" s="69"/>
      <c r="MEN122" s="69"/>
      <c r="MEO122" s="69"/>
      <c r="MEP122" s="69"/>
      <c r="MEQ122" s="69"/>
      <c r="MER122" s="69"/>
      <c r="MES122" s="69"/>
      <c r="MET122" s="69"/>
      <c r="MEU122" s="69"/>
      <c r="MEV122" s="69"/>
      <c r="MEW122" s="69"/>
      <c r="MEX122" s="69"/>
      <c r="MEY122" s="69"/>
      <c r="MEZ122" s="69"/>
      <c r="MFA122" s="69"/>
      <c r="MFB122" s="69"/>
      <c r="MFC122" s="69"/>
      <c r="MFD122" s="69"/>
      <c r="MFE122" s="69"/>
      <c r="MFF122" s="69"/>
      <c r="MFG122" s="69"/>
      <c r="MFH122" s="69"/>
      <c r="MFI122" s="69"/>
      <c r="MFJ122" s="69"/>
      <c r="MFK122" s="69"/>
      <c r="MFL122" s="69"/>
      <c r="MFM122" s="69"/>
      <c r="MFN122" s="69"/>
      <c r="MFO122" s="69"/>
      <c r="MFP122" s="69"/>
      <c r="MFQ122" s="69"/>
      <c r="MFR122" s="69"/>
      <c r="MFS122" s="69"/>
      <c r="MFT122" s="69"/>
      <c r="MFU122" s="69"/>
      <c r="MFV122" s="69"/>
      <c r="MFW122" s="69"/>
      <c r="MFX122" s="69"/>
      <c r="MFY122" s="69"/>
      <c r="MFZ122" s="69"/>
      <c r="MGA122" s="69"/>
      <c r="MGB122" s="69"/>
      <c r="MGC122" s="69"/>
      <c r="MGD122" s="69"/>
      <c r="MGE122" s="69"/>
      <c r="MGF122" s="69"/>
      <c r="MGG122" s="69"/>
      <c r="MGH122" s="69"/>
      <c r="MGI122" s="69"/>
      <c r="MGJ122" s="69"/>
      <c r="MGK122" s="69"/>
      <c r="MGL122" s="69"/>
      <c r="MGM122" s="69"/>
      <c r="MGN122" s="69"/>
      <c r="MGO122" s="69"/>
      <c r="MGP122" s="69"/>
      <c r="MGQ122" s="69"/>
      <c r="MGR122" s="69"/>
      <c r="MGS122" s="69"/>
      <c r="MGT122" s="69"/>
      <c r="MGU122" s="69"/>
      <c r="MGV122" s="69"/>
      <c r="MGW122" s="69"/>
      <c r="MGX122" s="69"/>
      <c r="MGY122" s="69"/>
      <c r="MGZ122" s="69"/>
      <c r="MHA122" s="69"/>
      <c r="MHB122" s="69"/>
      <c r="MHC122" s="69"/>
      <c r="MHD122" s="69"/>
      <c r="MHE122" s="69"/>
      <c r="MHF122" s="69"/>
      <c r="MHG122" s="69"/>
      <c r="MHH122" s="69"/>
      <c r="MHI122" s="69"/>
      <c r="MHJ122" s="69"/>
      <c r="MHK122" s="69"/>
      <c r="MHL122" s="69"/>
      <c r="MHM122" s="69"/>
      <c r="MHN122" s="69"/>
      <c r="MHO122" s="69"/>
      <c r="MHP122" s="69"/>
      <c r="MHQ122" s="69"/>
      <c r="MHR122" s="69"/>
      <c r="MHS122" s="69"/>
      <c r="MHT122" s="69"/>
      <c r="MHU122" s="69"/>
      <c r="MHV122" s="69"/>
      <c r="MHW122" s="69"/>
      <c r="MHX122" s="69"/>
      <c r="MHY122" s="69"/>
      <c r="MHZ122" s="69"/>
      <c r="MIA122" s="69"/>
      <c r="MIB122" s="69"/>
      <c r="MIC122" s="69"/>
      <c r="MID122" s="69"/>
      <c r="MIE122" s="69"/>
      <c r="MIF122" s="69"/>
      <c r="MIG122" s="69"/>
      <c r="MIH122" s="69"/>
      <c r="MII122" s="69"/>
      <c r="MIJ122" s="69"/>
      <c r="MIK122" s="69"/>
      <c r="MIL122" s="69"/>
      <c r="MIM122" s="69"/>
      <c r="MIN122" s="69"/>
      <c r="MIO122" s="69"/>
      <c r="MIP122" s="69"/>
      <c r="MIQ122" s="69"/>
      <c r="MIR122" s="69"/>
      <c r="MIS122" s="69"/>
      <c r="MIT122" s="69"/>
      <c r="MIU122" s="69"/>
      <c r="MIV122" s="69"/>
      <c r="MIW122" s="69"/>
      <c r="MIX122" s="69"/>
      <c r="MIY122" s="69"/>
      <c r="MIZ122" s="69"/>
      <c r="MJA122" s="69"/>
      <c r="MJB122" s="69"/>
      <c r="MJC122" s="69"/>
      <c r="MJD122" s="69"/>
      <c r="MJE122" s="69"/>
      <c r="MJF122" s="69"/>
      <c r="MJG122" s="69"/>
      <c r="MJH122" s="69"/>
      <c r="MJI122" s="69"/>
      <c r="MJJ122" s="69"/>
      <c r="MJK122" s="69"/>
      <c r="MJL122" s="69"/>
      <c r="MJM122" s="69"/>
      <c r="MJN122" s="69"/>
      <c r="MJO122" s="69"/>
      <c r="MJP122" s="69"/>
      <c r="MJQ122" s="69"/>
      <c r="MJR122" s="69"/>
      <c r="MJS122" s="69"/>
      <c r="MJT122" s="69"/>
      <c r="MJU122" s="69"/>
      <c r="MJV122" s="69"/>
      <c r="MJW122" s="69"/>
      <c r="MJX122" s="69"/>
      <c r="MJY122" s="69"/>
      <c r="MJZ122" s="69"/>
      <c r="MKA122" s="69"/>
      <c r="MKB122" s="69"/>
      <c r="MKC122" s="69"/>
      <c r="MKD122" s="69"/>
      <c r="MKE122" s="69"/>
      <c r="MKF122" s="69"/>
      <c r="MKG122" s="69"/>
      <c r="MKH122" s="69"/>
      <c r="MKI122" s="69"/>
      <c r="MKJ122" s="69"/>
      <c r="MKK122" s="69"/>
      <c r="MKL122" s="69"/>
      <c r="MKM122" s="69"/>
      <c r="MKN122" s="69"/>
      <c r="MKO122" s="69"/>
      <c r="MKP122" s="69"/>
      <c r="MKQ122" s="69"/>
      <c r="MKR122" s="69"/>
      <c r="MKS122" s="69"/>
      <c r="MKT122" s="69"/>
      <c r="MKU122" s="69"/>
      <c r="MKV122" s="69"/>
      <c r="MKW122" s="69"/>
      <c r="MKX122" s="69"/>
      <c r="MKY122" s="69"/>
      <c r="MKZ122" s="69"/>
      <c r="MLA122" s="69"/>
      <c r="MLB122" s="69"/>
      <c r="MLC122" s="69"/>
      <c r="MLD122" s="69"/>
      <c r="MLE122" s="69"/>
      <c r="MLF122" s="69"/>
      <c r="MLG122" s="69"/>
      <c r="MLH122" s="69"/>
      <c r="MLI122" s="69"/>
      <c r="MLJ122" s="69"/>
      <c r="MLK122" s="69"/>
      <c r="MLL122" s="69"/>
      <c r="MLM122" s="69"/>
      <c r="MLN122" s="69"/>
      <c r="MLO122" s="69"/>
      <c r="MLP122" s="69"/>
      <c r="MLQ122" s="69"/>
      <c r="MLR122" s="69"/>
      <c r="MLS122" s="69"/>
      <c r="MLT122" s="69"/>
      <c r="MLU122" s="69"/>
      <c r="MLV122" s="69"/>
      <c r="MLW122" s="69"/>
      <c r="MLX122" s="69"/>
      <c r="MLY122" s="69"/>
      <c r="MLZ122" s="69"/>
      <c r="MMA122" s="69"/>
      <c r="MMB122" s="69"/>
      <c r="MMC122" s="69"/>
      <c r="MMD122" s="69"/>
      <c r="MME122" s="69"/>
      <c r="MMF122" s="69"/>
      <c r="MMG122" s="69"/>
      <c r="MMH122" s="69"/>
      <c r="MMI122" s="69"/>
      <c r="MMJ122" s="69"/>
      <c r="MMK122" s="69"/>
      <c r="MML122" s="69"/>
      <c r="MMM122" s="69"/>
      <c r="MMN122" s="69"/>
      <c r="MMO122" s="69"/>
      <c r="MMP122" s="69"/>
      <c r="MMQ122" s="69"/>
      <c r="MMR122" s="69"/>
      <c r="MMS122" s="69"/>
      <c r="MMT122" s="69"/>
      <c r="MMU122" s="69"/>
      <c r="MMV122" s="69"/>
      <c r="MMW122" s="69"/>
      <c r="MMX122" s="69"/>
      <c r="MMY122" s="69"/>
      <c r="MMZ122" s="69"/>
      <c r="MNA122" s="69"/>
      <c r="MNB122" s="69"/>
      <c r="MNC122" s="69"/>
      <c r="MND122" s="69"/>
      <c r="MNE122" s="69"/>
      <c r="MNF122" s="69"/>
      <c r="MNG122" s="69"/>
      <c r="MNH122" s="69"/>
      <c r="MNI122" s="69"/>
      <c r="MNJ122" s="69"/>
      <c r="MNK122" s="69"/>
      <c r="MNL122" s="69"/>
      <c r="MNM122" s="69"/>
      <c r="MNN122" s="69"/>
      <c r="MNO122" s="69"/>
      <c r="MNP122" s="69"/>
      <c r="MNQ122" s="69"/>
      <c r="MNR122" s="69"/>
      <c r="MNS122" s="69"/>
      <c r="MNT122" s="69"/>
      <c r="MNU122" s="69"/>
      <c r="MNV122" s="69"/>
      <c r="MNW122" s="69"/>
      <c r="MNX122" s="69"/>
      <c r="MNY122" s="69"/>
      <c r="MNZ122" s="69"/>
      <c r="MOA122" s="69"/>
      <c r="MOB122" s="69"/>
      <c r="MOC122" s="69"/>
      <c r="MOD122" s="69"/>
      <c r="MOE122" s="69"/>
      <c r="MOF122" s="69"/>
      <c r="MOG122" s="69"/>
      <c r="MOH122" s="69"/>
      <c r="MOI122" s="69"/>
      <c r="MOJ122" s="69"/>
      <c r="MOK122" s="69"/>
      <c r="MOL122" s="69"/>
      <c r="MOM122" s="69"/>
      <c r="MON122" s="69"/>
      <c r="MOO122" s="69"/>
      <c r="MOP122" s="69"/>
      <c r="MOQ122" s="69"/>
      <c r="MOR122" s="69"/>
      <c r="MOS122" s="69"/>
      <c r="MOT122" s="69"/>
      <c r="MOU122" s="69"/>
      <c r="MOV122" s="69"/>
      <c r="MOW122" s="69"/>
      <c r="MOX122" s="69"/>
      <c r="MOY122" s="69"/>
      <c r="MOZ122" s="69"/>
      <c r="MPA122" s="69"/>
      <c r="MPB122" s="69"/>
      <c r="MPC122" s="69"/>
      <c r="MPD122" s="69"/>
      <c r="MPE122" s="69"/>
      <c r="MPF122" s="69"/>
      <c r="MPG122" s="69"/>
      <c r="MPH122" s="69"/>
      <c r="MPI122" s="69"/>
      <c r="MPJ122" s="69"/>
      <c r="MPK122" s="69"/>
      <c r="MPL122" s="69"/>
      <c r="MPM122" s="69"/>
      <c r="MPN122" s="69"/>
      <c r="MPO122" s="69"/>
      <c r="MPP122" s="69"/>
      <c r="MPQ122" s="69"/>
      <c r="MPR122" s="69"/>
      <c r="MPS122" s="69"/>
      <c r="MPT122" s="69"/>
      <c r="MPU122" s="69"/>
      <c r="MPV122" s="69"/>
      <c r="MPW122" s="69"/>
      <c r="MPX122" s="69"/>
      <c r="MPY122" s="69"/>
      <c r="MPZ122" s="69"/>
      <c r="MQA122" s="69"/>
      <c r="MQB122" s="69"/>
      <c r="MQC122" s="69"/>
      <c r="MQD122" s="69"/>
      <c r="MQE122" s="69"/>
      <c r="MQF122" s="69"/>
      <c r="MQG122" s="69"/>
      <c r="MQH122" s="69"/>
      <c r="MQI122" s="69"/>
      <c r="MQJ122" s="69"/>
      <c r="MQK122" s="69"/>
      <c r="MQL122" s="69"/>
      <c r="MQM122" s="69"/>
      <c r="MQN122" s="69"/>
      <c r="MQO122" s="69"/>
      <c r="MQP122" s="69"/>
      <c r="MQQ122" s="69"/>
      <c r="MQR122" s="69"/>
      <c r="MQS122" s="69"/>
      <c r="MQT122" s="69"/>
      <c r="MQU122" s="69"/>
      <c r="MQV122" s="69"/>
      <c r="MQW122" s="69"/>
      <c r="MQX122" s="69"/>
      <c r="MQY122" s="69"/>
      <c r="MQZ122" s="69"/>
      <c r="MRA122" s="69"/>
      <c r="MRB122" s="69"/>
      <c r="MRC122" s="69"/>
      <c r="MRD122" s="69"/>
      <c r="MRE122" s="69"/>
      <c r="MRF122" s="69"/>
      <c r="MRG122" s="69"/>
      <c r="MRH122" s="69"/>
      <c r="MRI122" s="69"/>
      <c r="MRJ122" s="69"/>
      <c r="MRK122" s="69"/>
      <c r="MRL122" s="69"/>
      <c r="MRM122" s="69"/>
      <c r="MRN122" s="69"/>
      <c r="MRO122" s="69"/>
      <c r="MRP122" s="69"/>
      <c r="MRQ122" s="69"/>
      <c r="MRR122" s="69"/>
      <c r="MRS122" s="69"/>
      <c r="MRT122" s="69"/>
      <c r="MRU122" s="69"/>
      <c r="MRV122" s="69"/>
      <c r="MRW122" s="69"/>
      <c r="MRX122" s="69"/>
      <c r="MRY122" s="69"/>
      <c r="MRZ122" s="69"/>
      <c r="MSA122" s="69"/>
      <c r="MSB122" s="69"/>
      <c r="MSC122" s="69"/>
      <c r="MSD122" s="69"/>
      <c r="MSE122" s="69"/>
      <c r="MSF122" s="69"/>
      <c r="MSG122" s="69"/>
      <c r="MSH122" s="69"/>
      <c r="MSI122" s="69"/>
      <c r="MSJ122" s="69"/>
      <c r="MSK122" s="69"/>
      <c r="MSL122" s="69"/>
      <c r="MSM122" s="69"/>
      <c r="MSN122" s="69"/>
      <c r="MSO122" s="69"/>
      <c r="MSP122" s="69"/>
      <c r="MSQ122" s="69"/>
      <c r="MSR122" s="69"/>
      <c r="MSS122" s="69"/>
      <c r="MST122" s="69"/>
      <c r="MSU122" s="69"/>
      <c r="MSV122" s="69"/>
      <c r="MSW122" s="69"/>
      <c r="MSX122" s="69"/>
      <c r="MSY122" s="69"/>
      <c r="MSZ122" s="69"/>
      <c r="MTA122" s="69"/>
      <c r="MTB122" s="69"/>
      <c r="MTC122" s="69"/>
      <c r="MTD122" s="69"/>
      <c r="MTE122" s="69"/>
      <c r="MTF122" s="69"/>
      <c r="MTG122" s="69"/>
      <c r="MTH122" s="69"/>
      <c r="MTI122" s="69"/>
      <c r="MTJ122" s="69"/>
      <c r="MTK122" s="69"/>
      <c r="MTL122" s="69"/>
      <c r="MTM122" s="69"/>
      <c r="MTN122" s="69"/>
      <c r="MTO122" s="69"/>
      <c r="MTP122" s="69"/>
      <c r="MTQ122" s="69"/>
      <c r="MTR122" s="69"/>
      <c r="MTS122" s="69"/>
      <c r="MTT122" s="69"/>
      <c r="MTU122" s="69"/>
      <c r="MTV122" s="69"/>
      <c r="MTW122" s="69"/>
      <c r="MTX122" s="69"/>
      <c r="MTY122" s="69"/>
      <c r="MTZ122" s="69"/>
      <c r="MUA122" s="69"/>
      <c r="MUB122" s="69"/>
      <c r="MUC122" s="69"/>
      <c r="MUD122" s="69"/>
      <c r="MUE122" s="69"/>
      <c r="MUF122" s="69"/>
      <c r="MUG122" s="69"/>
      <c r="MUH122" s="69"/>
      <c r="MUI122" s="69"/>
      <c r="MUJ122" s="69"/>
      <c r="MUK122" s="69"/>
      <c r="MUL122" s="69"/>
      <c r="MUM122" s="69"/>
      <c r="MUN122" s="69"/>
      <c r="MUO122" s="69"/>
      <c r="MUP122" s="69"/>
      <c r="MUQ122" s="69"/>
      <c r="MUR122" s="69"/>
      <c r="MUS122" s="69"/>
      <c r="MUT122" s="69"/>
      <c r="MUU122" s="69"/>
      <c r="MUV122" s="69"/>
      <c r="MUW122" s="69"/>
      <c r="MUX122" s="69"/>
      <c r="MUY122" s="69"/>
      <c r="MUZ122" s="69"/>
      <c r="MVA122" s="69"/>
      <c r="MVB122" s="69"/>
      <c r="MVC122" s="69"/>
      <c r="MVD122" s="69"/>
      <c r="MVE122" s="69"/>
      <c r="MVF122" s="69"/>
      <c r="MVG122" s="69"/>
      <c r="MVH122" s="69"/>
      <c r="MVI122" s="69"/>
      <c r="MVJ122" s="69"/>
      <c r="MVK122" s="69"/>
      <c r="MVL122" s="69"/>
      <c r="MVM122" s="69"/>
      <c r="MVN122" s="69"/>
      <c r="MVO122" s="69"/>
      <c r="MVP122" s="69"/>
      <c r="MVQ122" s="69"/>
      <c r="MVR122" s="69"/>
      <c r="MVS122" s="69"/>
      <c r="MVT122" s="69"/>
      <c r="MVU122" s="69"/>
      <c r="MVV122" s="69"/>
      <c r="MVW122" s="69"/>
      <c r="MVX122" s="69"/>
      <c r="MVY122" s="69"/>
      <c r="MVZ122" s="69"/>
      <c r="MWA122" s="69"/>
      <c r="MWB122" s="69"/>
      <c r="MWC122" s="69"/>
      <c r="MWD122" s="69"/>
      <c r="MWE122" s="69"/>
      <c r="MWF122" s="69"/>
      <c r="MWG122" s="69"/>
      <c r="MWH122" s="69"/>
      <c r="MWI122" s="69"/>
      <c r="MWJ122" s="69"/>
      <c r="MWK122" s="69"/>
      <c r="MWL122" s="69"/>
      <c r="MWM122" s="69"/>
      <c r="MWN122" s="69"/>
      <c r="MWO122" s="69"/>
      <c r="MWP122" s="69"/>
      <c r="MWQ122" s="69"/>
      <c r="MWR122" s="69"/>
      <c r="MWS122" s="69"/>
      <c r="MWT122" s="69"/>
      <c r="MWU122" s="69"/>
      <c r="MWV122" s="69"/>
      <c r="MWW122" s="69"/>
      <c r="MWX122" s="69"/>
      <c r="MWY122" s="69"/>
      <c r="MWZ122" s="69"/>
      <c r="MXA122" s="69"/>
      <c r="MXB122" s="69"/>
      <c r="MXC122" s="69"/>
      <c r="MXD122" s="69"/>
      <c r="MXE122" s="69"/>
      <c r="MXF122" s="69"/>
      <c r="MXG122" s="69"/>
      <c r="MXH122" s="69"/>
      <c r="MXI122" s="69"/>
      <c r="MXJ122" s="69"/>
      <c r="MXK122" s="69"/>
      <c r="MXL122" s="69"/>
      <c r="MXM122" s="69"/>
      <c r="MXN122" s="69"/>
      <c r="MXO122" s="69"/>
      <c r="MXP122" s="69"/>
      <c r="MXQ122" s="69"/>
      <c r="MXR122" s="69"/>
      <c r="MXS122" s="69"/>
      <c r="MXT122" s="69"/>
      <c r="MXU122" s="69"/>
      <c r="MXV122" s="69"/>
      <c r="MXW122" s="69"/>
      <c r="MXX122" s="69"/>
      <c r="MXY122" s="69"/>
      <c r="MXZ122" s="69"/>
      <c r="MYA122" s="69"/>
      <c r="MYB122" s="69"/>
      <c r="MYC122" s="69"/>
      <c r="MYD122" s="69"/>
      <c r="MYE122" s="69"/>
      <c r="MYF122" s="69"/>
      <c r="MYG122" s="69"/>
      <c r="MYH122" s="69"/>
      <c r="MYI122" s="69"/>
      <c r="MYJ122" s="69"/>
      <c r="MYK122" s="69"/>
      <c r="MYL122" s="69"/>
      <c r="MYM122" s="69"/>
      <c r="MYN122" s="69"/>
      <c r="MYO122" s="69"/>
      <c r="MYP122" s="69"/>
      <c r="MYQ122" s="69"/>
      <c r="MYR122" s="69"/>
      <c r="MYS122" s="69"/>
      <c r="MYT122" s="69"/>
      <c r="MYU122" s="69"/>
      <c r="MYV122" s="69"/>
      <c r="MYW122" s="69"/>
      <c r="MYX122" s="69"/>
      <c r="MYY122" s="69"/>
      <c r="MYZ122" s="69"/>
      <c r="MZA122" s="69"/>
      <c r="MZB122" s="69"/>
      <c r="MZC122" s="69"/>
      <c r="MZD122" s="69"/>
      <c r="MZE122" s="69"/>
      <c r="MZF122" s="69"/>
      <c r="MZG122" s="69"/>
      <c r="MZH122" s="69"/>
      <c r="MZI122" s="69"/>
      <c r="MZJ122" s="69"/>
      <c r="MZK122" s="69"/>
      <c r="MZL122" s="69"/>
      <c r="MZM122" s="69"/>
      <c r="MZN122" s="69"/>
      <c r="MZO122" s="69"/>
      <c r="MZP122" s="69"/>
      <c r="MZQ122" s="69"/>
      <c r="MZR122" s="69"/>
      <c r="MZS122" s="69"/>
      <c r="MZT122" s="69"/>
      <c r="MZU122" s="69"/>
      <c r="MZV122" s="69"/>
      <c r="MZW122" s="69"/>
      <c r="MZX122" s="69"/>
      <c r="MZY122" s="69"/>
      <c r="MZZ122" s="69"/>
      <c r="NAA122" s="69"/>
      <c r="NAB122" s="69"/>
      <c r="NAC122" s="69"/>
      <c r="NAD122" s="69"/>
      <c r="NAE122" s="69"/>
      <c r="NAF122" s="69"/>
      <c r="NAG122" s="69"/>
      <c r="NAH122" s="69"/>
      <c r="NAI122" s="69"/>
      <c r="NAJ122" s="69"/>
      <c r="NAK122" s="69"/>
      <c r="NAL122" s="69"/>
      <c r="NAM122" s="69"/>
      <c r="NAN122" s="69"/>
      <c r="NAO122" s="69"/>
      <c r="NAP122" s="69"/>
      <c r="NAQ122" s="69"/>
      <c r="NAR122" s="69"/>
      <c r="NAS122" s="69"/>
      <c r="NAT122" s="69"/>
      <c r="NAU122" s="69"/>
      <c r="NAV122" s="69"/>
      <c r="NAW122" s="69"/>
      <c r="NAX122" s="69"/>
      <c r="NAY122" s="69"/>
      <c r="NAZ122" s="69"/>
      <c r="NBA122" s="69"/>
      <c r="NBB122" s="69"/>
      <c r="NBC122" s="69"/>
      <c r="NBD122" s="69"/>
      <c r="NBE122" s="69"/>
      <c r="NBF122" s="69"/>
      <c r="NBG122" s="69"/>
      <c r="NBH122" s="69"/>
      <c r="NBI122" s="69"/>
      <c r="NBJ122" s="69"/>
      <c r="NBK122" s="69"/>
      <c r="NBL122" s="69"/>
      <c r="NBM122" s="69"/>
      <c r="NBN122" s="69"/>
      <c r="NBO122" s="69"/>
      <c r="NBP122" s="69"/>
      <c r="NBQ122" s="69"/>
      <c r="NBR122" s="69"/>
      <c r="NBS122" s="69"/>
      <c r="NBT122" s="69"/>
      <c r="NBU122" s="69"/>
      <c r="NBV122" s="69"/>
      <c r="NBW122" s="69"/>
      <c r="NBX122" s="69"/>
      <c r="NBY122" s="69"/>
      <c r="NBZ122" s="69"/>
      <c r="NCA122" s="69"/>
      <c r="NCB122" s="69"/>
      <c r="NCC122" s="69"/>
      <c r="NCD122" s="69"/>
      <c r="NCE122" s="69"/>
      <c r="NCF122" s="69"/>
      <c r="NCG122" s="69"/>
      <c r="NCH122" s="69"/>
      <c r="NCI122" s="69"/>
      <c r="NCJ122" s="69"/>
      <c r="NCK122" s="69"/>
      <c r="NCL122" s="69"/>
      <c r="NCM122" s="69"/>
      <c r="NCN122" s="69"/>
      <c r="NCO122" s="69"/>
      <c r="NCP122" s="69"/>
      <c r="NCQ122" s="69"/>
      <c r="NCR122" s="69"/>
      <c r="NCS122" s="69"/>
      <c r="NCT122" s="69"/>
      <c r="NCU122" s="69"/>
      <c r="NCV122" s="69"/>
      <c r="NCW122" s="69"/>
      <c r="NCX122" s="69"/>
      <c r="NCY122" s="69"/>
      <c r="NCZ122" s="69"/>
      <c r="NDA122" s="69"/>
      <c r="NDB122" s="69"/>
      <c r="NDC122" s="69"/>
      <c r="NDD122" s="69"/>
      <c r="NDE122" s="69"/>
      <c r="NDF122" s="69"/>
      <c r="NDG122" s="69"/>
      <c r="NDH122" s="69"/>
      <c r="NDI122" s="69"/>
      <c r="NDJ122" s="69"/>
      <c r="NDK122" s="69"/>
      <c r="NDL122" s="69"/>
      <c r="NDM122" s="69"/>
      <c r="NDN122" s="69"/>
      <c r="NDO122" s="69"/>
      <c r="NDP122" s="69"/>
      <c r="NDQ122" s="69"/>
      <c r="NDR122" s="69"/>
      <c r="NDS122" s="69"/>
      <c r="NDT122" s="69"/>
      <c r="NDU122" s="69"/>
      <c r="NDV122" s="69"/>
      <c r="NDW122" s="69"/>
      <c r="NDX122" s="69"/>
      <c r="NDY122" s="69"/>
      <c r="NDZ122" s="69"/>
      <c r="NEA122" s="69"/>
      <c r="NEB122" s="69"/>
      <c r="NEC122" s="69"/>
      <c r="NED122" s="69"/>
      <c r="NEE122" s="69"/>
      <c r="NEF122" s="69"/>
      <c r="NEG122" s="69"/>
      <c r="NEH122" s="69"/>
      <c r="NEI122" s="69"/>
      <c r="NEJ122" s="69"/>
      <c r="NEK122" s="69"/>
      <c r="NEL122" s="69"/>
      <c r="NEM122" s="69"/>
      <c r="NEN122" s="69"/>
      <c r="NEO122" s="69"/>
      <c r="NEP122" s="69"/>
      <c r="NEQ122" s="69"/>
      <c r="NER122" s="69"/>
      <c r="NES122" s="69"/>
      <c r="NET122" s="69"/>
      <c r="NEU122" s="69"/>
      <c r="NEV122" s="69"/>
      <c r="NEW122" s="69"/>
      <c r="NEX122" s="69"/>
      <c r="NEY122" s="69"/>
      <c r="NEZ122" s="69"/>
      <c r="NFA122" s="69"/>
      <c r="NFB122" s="69"/>
      <c r="NFC122" s="69"/>
      <c r="NFD122" s="69"/>
      <c r="NFE122" s="69"/>
      <c r="NFF122" s="69"/>
      <c r="NFG122" s="69"/>
      <c r="NFH122" s="69"/>
      <c r="NFI122" s="69"/>
      <c r="NFJ122" s="69"/>
      <c r="NFK122" s="69"/>
      <c r="NFL122" s="69"/>
      <c r="NFM122" s="69"/>
      <c r="NFN122" s="69"/>
      <c r="NFO122" s="69"/>
      <c r="NFP122" s="69"/>
      <c r="NFQ122" s="69"/>
      <c r="NFR122" s="69"/>
      <c r="NFS122" s="69"/>
      <c r="NFT122" s="69"/>
      <c r="NFU122" s="69"/>
      <c r="NFV122" s="69"/>
      <c r="NFW122" s="69"/>
      <c r="NFX122" s="69"/>
      <c r="NFY122" s="69"/>
      <c r="NFZ122" s="69"/>
      <c r="NGA122" s="69"/>
      <c r="NGB122" s="69"/>
      <c r="NGC122" s="69"/>
      <c r="NGD122" s="69"/>
      <c r="NGE122" s="69"/>
      <c r="NGF122" s="69"/>
      <c r="NGG122" s="69"/>
      <c r="NGH122" s="69"/>
      <c r="NGI122" s="69"/>
      <c r="NGJ122" s="69"/>
      <c r="NGK122" s="69"/>
      <c r="NGL122" s="69"/>
      <c r="NGM122" s="69"/>
      <c r="NGN122" s="69"/>
      <c r="NGO122" s="69"/>
      <c r="NGP122" s="69"/>
      <c r="NGQ122" s="69"/>
      <c r="NGR122" s="69"/>
      <c r="NGS122" s="69"/>
      <c r="NGT122" s="69"/>
      <c r="NGU122" s="69"/>
      <c r="NGV122" s="69"/>
      <c r="NGW122" s="69"/>
      <c r="NGX122" s="69"/>
      <c r="NGY122" s="69"/>
      <c r="NGZ122" s="69"/>
      <c r="NHA122" s="69"/>
      <c r="NHB122" s="69"/>
      <c r="NHC122" s="69"/>
      <c r="NHD122" s="69"/>
      <c r="NHE122" s="69"/>
      <c r="NHF122" s="69"/>
      <c r="NHG122" s="69"/>
      <c r="NHH122" s="69"/>
      <c r="NHI122" s="69"/>
      <c r="NHJ122" s="69"/>
      <c r="NHK122" s="69"/>
      <c r="NHL122" s="69"/>
      <c r="NHM122" s="69"/>
      <c r="NHN122" s="69"/>
      <c r="NHO122" s="69"/>
      <c r="NHP122" s="69"/>
      <c r="NHQ122" s="69"/>
      <c r="NHR122" s="69"/>
      <c r="NHS122" s="69"/>
      <c r="NHT122" s="69"/>
      <c r="NHU122" s="69"/>
      <c r="NHV122" s="69"/>
      <c r="NHW122" s="69"/>
      <c r="NHX122" s="69"/>
      <c r="NHY122" s="69"/>
      <c r="NHZ122" s="69"/>
      <c r="NIA122" s="69"/>
      <c r="NIB122" s="69"/>
      <c r="NIC122" s="69"/>
      <c r="NID122" s="69"/>
      <c r="NIE122" s="69"/>
      <c r="NIF122" s="69"/>
      <c r="NIG122" s="69"/>
      <c r="NIH122" s="69"/>
      <c r="NII122" s="69"/>
      <c r="NIJ122" s="69"/>
      <c r="NIK122" s="69"/>
      <c r="NIL122" s="69"/>
      <c r="NIM122" s="69"/>
      <c r="NIN122" s="69"/>
      <c r="NIO122" s="69"/>
      <c r="NIP122" s="69"/>
      <c r="NIQ122" s="69"/>
      <c r="NIR122" s="69"/>
      <c r="NIS122" s="69"/>
      <c r="NIT122" s="69"/>
      <c r="NIU122" s="69"/>
      <c r="NIV122" s="69"/>
      <c r="NIW122" s="69"/>
      <c r="NIX122" s="69"/>
      <c r="NIY122" s="69"/>
      <c r="NIZ122" s="69"/>
      <c r="NJA122" s="69"/>
      <c r="NJB122" s="69"/>
      <c r="NJC122" s="69"/>
      <c r="NJD122" s="69"/>
      <c r="NJE122" s="69"/>
      <c r="NJF122" s="69"/>
      <c r="NJG122" s="69"/>
      <c r="NJH122" s="69"/>
      <c r="NJI122" s="69"/>
      <c r="NJJ122" s="69"/>
      <c r="NJK122" s="69"/>
      <c r="NJL122" s="69"/>
      <c r="NJM122" s="69"/>
      <c r="NJN122" s="69"/>
      <c r="NJO122" s="69"/>
      <c r="NJP122" s="69"/>
      <c r="NJQ122" s="69"/>
      <c r="NJR122" s="69"/>
      <c r="NJS122" s="69"/>
      <c r="NJT122" s="69"/>
      <c r="NJU122" s="69"/>
      <c r="NJV122" s="69"/>
      <c r="NJW122" s="69"/>
      <c r="NJX122" s="69"/>
      <c r="NJY122" s="69"/>
      <c r="NJZ122" s="69"/>
      <c r="NKA122" s="69"/>
      <c r="NKB122" s="69"/>
      <c r="NKC122" s="69"/>
      <c r="NKD122" s="69"/>
      <c r="NKE122" s="69"/>
      <c r="NKF122" s="69"/>
      <c r="NKG122" s="69"/>
      <c r="NKH122" s="69"/>
      <c r="NKI122" s="69"/>
      <c r="NKJ122" s="69"/>
      <c r="NKK122" s="69"/>
      <c r="NKL122" s="69"/>
      <c r="NKM122" s="69"/>
      <c r="NKN122" s="69"/>
      <c r="NKO122" s="69"/>
      <c r="NKP122" s="69"/>
      <c r="NKQ122" s="69"/>
      <c r="NKR122" s="69"/>
      <c r="NKS122" s="69"/>
      <c r="NKT122" s="69"/>
      <c r="NKU122" s="69"/>
      <c r="NKV122" s="69"/>
      <c r="NKW122" s="69"/>
      <c r="NKX122" s="69"/>
      <c r="NKY122" s="69"/>
      <c r="NKZ122" s="69"/>
      <c r="NLA122" s="69"/>
      <c r="NLB122" s="69"/>
      <c r="NLC122" s="69"/>
      <c r="NLD122" s="69"/>
      <c r="NLE122" s="69"/>
      <c r="NLF122" s="69"/>
      <c r="NLG122" s="69"/>
      <c r="NLH122" s="69"/>
      <c r="NLI122" s="69"/>
      <c r="NLJ122" s="69"/>
      <c r="NLK122" s="69"/>
      <c r="NLL122" s="69"/>
      <c r="NLM122" s="69"/>
      <c r="NLN122" s="69"/>
      <c r="NLO122" s="69"/>
      <c r="NLP122" s="69"/>
      <c r="NLQ122" s="69"/>
      <c r="NLR122" s="69"/>
      <c r="NLS122" s="69"/>
      <c r="NLT122" s="69"/>
      <c r="NLU122" s="69"/>
      <c r="NLV122" s="69"/>
      <c r="NLW122" s="69"/>
      <c r="NLX122" s="69"/>
      <c r="NLY122" s="69"/>
      <c r="NLZ122" s="69"/>
      <c r="NMA122" s="69"/>
      <c r="NMB122" s="69"/>
      <c r="NMC122" s="69"/>
      <c r="NMD122" s="69"/>
      <c r="NME122" s="69"/>
      <c r="NMF122" s="69"/>
      <c r="NMG122" s="69"/>
      <c r="NMH122" s="69"/>
      <c r="NMI122" s="69"/>
      <c r="NMJ122" s="69"/>
      <c r="NMK122" s="69"/>
      <c r="NML122" s="69"/>
      <c r="NMM122" s="69"/>
      <c r="NMN122" s="69"/>
      <c r="NMO122" s="69"/>
      <c r="NMP122" s="69"/>
      <c r="NMQ122" s="69"/>
      <c r="NMR122" s="69"/>
      <c r="NMS122" s="69"/>
      <c r="NMT122" s="69"/>
      <c r="NMU122" s="69"/>
      <c r="NMV122" s="69"/>
      <c r="NMW122" s="69"/>
      <c r="NMX122" s="69"/>
      <c r="NMY122" s="69"/>
      <c r="NMZ122" s="69"/>
      <c r="NNA122" s="69"/>
      <c r="NNB122" s="69"/>
      <c r="NNC122" s="69"/>
      <c r="NND122" s="69"/>
      <c r="NNE122" s="69"/>
      <c r="NNF122" s="69"/>
      <c r="NNG122" s="69"/>
      <c r="NNH122" s="69"/>
      <c r="NNI122" s="69"/>
      <c r="NNJ122" s="69"/>
      <c r="NNK122" s="69"/>
      <c r="NNL122" s="69"/>
      <c r="NNM122" s="69"/>
      <c r="NNN122" s="69"/>
      <c r="NNO122" s="69"/>
      <c r="NNP122" s="69"/>
      <c r="NNQ122" s="69"/>
      <c r="NNR122" s="69"/>
      <c r="NNS122" s="69"/>
      <c r="NNT122" s="69"/>
      <c r="NNU122" s="69"/>
      <c r="NNV122" s="69"/>
      <c r="NNW122" s="69"/>
      <c r="NNX122" s="69"/>
      <c r="NNY122" s="69"/>
      <c r="NNZ122" s="69"/>
      <c r="NOA122" s="69"/>
      <c r="NOB122" s="69"/>
      <c r="NOC122" s="69"/>
      <c r="NOD122" s="69"/>
      <c r="NOE122" s="69"/>
      <c r="NOF122" s="69"/>
      <c r="NOG122" s="69"/>
      <c r="NOH122" s="69"/>
      <c r="NOI122" s="69"/>
      <c r="NOJ122" s="69"/>
      <c r="NOK122" s="69"/>
      <c r="NOL122" s="69"/>
      <c r="NOM122" s="69"/>
      <c r="NON122" s="69"/>
      <c r="NOO122" s="69"/>
      <c r="NOP122" s="69"/>
      <c r="NOQ122" s="69"/>
      <c r="NOR122" s="69"/>
      <c r="NOS122" s="69"/>
      <c r="NOT122" s="69"/>
      <c r="NOU122" s="69"/>
      <c r="NOV122" s="69"/>
      <c r="NOW122" s="69"/>
      <c r="NOX122" s="69"/>
      <c r="NOY122" s="69"/>
      <c r="NOZ122" s="69"/>
      <c r="NPA122" s="69"/>
      <c r="NPB122" s="69"/>
      <c r="NPC122" s="69"/>
      <c r="NPD122" s="69"/>
      <c r="NPE122" s="69"/>
      <c r="NPF122" s="69"/>
      <c r="NPG122" s="69"/>
      <c r="NPH122" s="69"/>
      <c r="NPI122" s="69"/>
      <c r="NPJ122" s="69"/>
      <c r="NPK122" s="69"/>
      <c r="NPL122" s="69"/>
      <c r="NPM122" s="69"/>
      <c r="NPN122" s="69"/>
      <c r="NPO122" s="69"/>
      <c r="NPP122" s="69"/>
      <c r="NPQ122" s="69"/>
      <c r="NPR122" s="69"/>
      <c r="NPS122" s="69"/>
      <c r="NPT122" s="69"/>
      <c r="NPU122" s="69"/>
      <c r="NPV122" s="69"/>
      <c r="NPW122" s="69"/>
      <c r="NPX122" s="69"/>
      <c r="NPY122" s="69"/>
      <c r="NPZ122" s="69"/>
      <c r="NQA122" s="69"/>
      <c r="NQB122" s="69"/>
      <c r="NQC122" s="69"/>
      <c r="NQD122" s="69"/>
      <c r="NQE122" s="69"/>
      <c r="NQF122" s="69"/>
      <c r="NQG122" s="69"/>
      <c r="NQH122" s="69"/>
      <c r="NQI122" s="69"/>
      <c r="NQJ122" s="69"/>
      <c r="NQK122" s="69"/>
      <c r="NQL122" s="69"/>
      <c r="NQM122" s="69"/>
      <c r="NQN122" s="69"/>
      <c r="NQO122" s="69"/>
      <c r="NQP122" s="69"/>
      <c r="NQQ122" s="69"/>
      <c r="NQR122" s="69"/>
      <c r="NQS122" s="69"/>
      <c r="NQT122" s="69"/>
      <c r="NQU122" s="69"/>
      <c r="NQV122" s="69"/>
      <c r="NQW122" s="69"/>
      <c r="NQX122" s="69"/>
      <c r="NQY122" s="69"/>
      <c r="NQZ122" s="69"/>
      <c r="NRA122" s="69"/>
      <c r="NRB122" s="69"/>
      <c r="NRC122" s="69"/>
      <c r="NRD122" s="69"/>
      <c r="NRE122" s="69"/>
      <c r="NRF122" s="69"/>
      <c r="NRG122" s="69"/>
      <c r="NRH122" s="69"/>
      <c r="NRI122" s="69"/>
      <c r="NRJ122" s="69"/>
      <c r="NRK122" s="69"/>
      <c r="NRL122" s="69"/>
      <c r="NRM122" s="69"/>
      <c r="NRN122" s="69"/>
      <c r="NRO122" s="69"/>
      <c r="NRP122" s="69"/>
      <c r="NRQ122" s="69"/>
      <c r="NRR122" s="69"/>
      <c r="NRS122" s="69"/>
      <c r="NRT122" s="69"/>
      <c r="NRU122" s="69"/>
      <c r="NRV122" s="69"/>
      <c r="NRW122" s="69"/>
      <c r="NRX122" s="69"/>
      <c r="NRY122" s="69"/>
      <c r="NRZ122" s="69"/>
      <c r="NSA122" s="69"/>
      <c r="NSB122" s="69"/>
      <c r="NSC122" s="69"/>
      <c r="NSD122" s="69"/>
      <c r="NSE122" s="69"/>
      <c r="NSF122" s="69"/>
      <c r="NSG122" s="69"/>
      <c r="NSH122" s="69"/>
      <c r="NSI122" s="69"/>
      <c r="NSJ122" s="69"/>
      <c r="NSK122" s="69"/>
      <c r="NSL122" s="69"/>
      <c r="NSM122" s="69"/>
      <c r="NSN122" s="69"/>
      <c r="NSO122" s="69"/>
      <c r="NSP122" s="69"/>
      <c r="NSQ122" s="69"/>
      <c r="NSR122" s="69"/>
      <c r="NSS122" s="69"/>
      <c r="NST122" s="69"/>
      <c r="NSU122" s="69"/>
      <c r="NSV122" s="69"/>
      <c r="NSW122" s="69"/>
      <c r="NSX122" s="69"/>
      <c r="NSY122" s="69"/>
      <c r="NSZ122" s="69"/>
      <c r="NTA122" s="69"/>
      <c r="NTB122" s="69"/>
      <c r="NTC122" s="69"/>
      <c r="NTD122" s="69"/>
      <c r="NTE122" s="69"/>
      <c r="NTF122" s="69"/>
      <c r="NTG122" s="69"/>
      <c r="NTH122" s="69"/>
      <c r="NTI122" s="69"/>
      <c r="NTJ122" s="69"/>
      <c r="NTK122" s="69"/>
      <c r="NTL122" s="69"/>
      <c r="NTM122" s="69"/>
      <c r="NTN122" s="69"/>
      <c r="NTO122" s="69"/>
      <c r="NTP122" s="69"/>
      <c r="NTQ122" s="69"/>
      <c r="NTR122" s="69"/>
      <c r="NTS122" s="69"/>
      <c r="NTT122" s="69"/>
      <c r="NTU122" s="69"/>
      <c r="NTV122" s="69"/>
      <c r="NTW122" s="69"/>
      <c r="NTX122" s="69"/>
      <c r="NTY122" s="69"/>
      <c r="NTZ122" s="69"/>
      <c r="NUA122" s="69"/>
      <c r="NUB122" s="69"/>
      <c r="NUC122" s="69"/>
      <c r="NUD122" s="69"/>
      <c r="NUE122" s="69"/>
      <c r="NUF122" s="69"/>
      <c r="NUG122" s="69"/>
      <c r="NUH122" s="69"/>
      <c r="NUI122" s="69"/>
      <c r="NUJ122" s="69"/>
      <c r="NUK122" s="69"/>
      <c r="NUL122" s="69"/>
      <c r="NUM122" s="69"/>
      <c r="NUN122" s="69"/>
      <c r="NUO122" s="69"/>
      <c r="NUP122" s="69"/>
      <c r="NUQ122" s="69"/>
      <c r="NUR122" s="69"/>
      <c r="NUS122" s="69"/>
      <c r="NUT122" s="69"/>
      <c r="NUU122" s="69"/>
      <c r="NUV122" s="69"/>
      <c r="NUW122" s="69"/>
      <c r="NUX122" s="69"/>
      <c r="NUY122" s="69"/>
      <c r="NUZ122" s="69"/>
      <c r="NVA122" s="69"/>
      <c r="NVB122" s="69"/>
      <c r="NVC122" s="69"/>
      <c r="NVD122" s="69"/>
      <c r="NVE122" s="69"/>
      <c r="NVF122" s="69"/>
      <c r="NVG122" s="69"/>
      <c r="NVH122" s="69"/>
      <c r="NVI122" s="69"/>
      <c r="NVJ122" s="69"/>
      <c r="NVK122" s="69"/>
      <c r="NVL122" s="69"/>
      <c r="NVM122" s="69"/>
      <c r="NVN122" s="69"/>
      <c r="NVO122" s="69"/>
      <c r="NVP122" s="69"/>
      <c r="NVQ122" s="69"/>
      <c r="NVR122" s="69"/>
      <c r="NVS122" s="69"/>
      <c r="NVT122" s="69"/>
      <c r="NVU122" s="69"/>
      <c r="NVV122" s="69"/>
      <c r="NVW122" s="69"/>
      <c r="NVX122" s="69"/>
      <c r="NVY122" s="69"/>
      <c r="NVZ122" s="69"/>
      <c r="NWA122" s="69"/>
      <c r="NWB122" s="69"/>
      <c r="NWC122" s="69"/>
      <c r="NWD122" s="69"/>
      <c r="NWE122" s="69"/>
      <c r="NWF122" s="69"/>
      <c r="NWG122" s="69"/>
      <c r="NWH122" s="69"/>
      <c r="NWI122" s="69"/>
      <c r="NWJ122" s="69"/>
      <c r="NWK122" s="69"/>
      <c r="NWL122" s="69"/>
      <c r="NWM122" s="69"/>
      <c r="NWN122" s="69"/>
      <c r="NWO122" s="69"/>
      <c r="NWP122" s="69"/>
      <c r="NWQ122" s="69"/>
      <c r="NWR122" s="69"/>
      <c r="NWS122" s="69"/>
      <c r="NWT122" s="69"/>
      <c r="NWU122" s="69"/>
      <c r="NWV122" s="69"/>
      <c r="NWW122" s="69"/>
      <c r="NWX122" s="69"/>
      <c r="NWY122" s="69"/>
      <c r="NWZ122" s="69"/>
      <c r="NXA122" s="69"/>
      <c r="NXB122" s="69"/>
      <c r="NXC122" s="69"/>
      <c r="NXD122" s="69"/>
      <c r="NXE122" s="69"/>
      <c r="NXF122" s="69"/>
      <c r="NXG122" s="69"/>
      <c r="NXH122" s="69"/>
      <c r="NXI122" s="69"/>
      <c r="NXJ122" s="69"/>
      <c r="NXK122" s="69"/>
      <c r="NXL122" s="69"/>
      <c r="NXM122" s="69"/>
      <c r="NXN122" s="69"/>
      <c r="NXO122" s="69"/>
      <c r="NXP122" s="69"/>
      <c r="NXQ122" s="69"/>
      <c r="NXR122" s="69"/>
      <c r="NXS122" s="69"/>
      <c r="NXT122" s="69"/>
      <c r="NXU122" s="69"/>
      <c r="NXV122" s="69"/>
      <c r="NXW122" s="69"/>
      <c r="NXX122" s="69"/>
      <c r="NXY122" s="69"/>
      <c r="NXZ122" s="69"/>
      <c r="NYA122" s="69"/>
      <c r="NYB122" s="69"/>
      <c r="NYC122" s="69"/>
      <c r="NYD122" s="69"/>
      <c r="NYE122" s="69"/>
      <c r="NYF122" s="69"/>
      <c r="NYG122" s="69"/>
      <c r="NYH122" s="69"/>
      <c r="NYI122" s="69"/>
      <c r="NYJ122" s="69"/>
      <c r="NYK122" s="69"/>
      <c r="NYL122" s="69"/>
      <c r="NYM122" s="69"/>
      <c r="NYN122" s="69"/>
      <c r="NYO122" s="69"/>
      <c r="NYP122" s="69"/>
      <c r="NYQ122" s="69"/>
      <c r="NYR122" s="69"/>
      <c r="NYS122" s="69"/>
      <c r="NYT122" s="69"/>
      <c r="NYU122" s="69"/>
      <c r="NYV122" s="69"/>
      <c r="NYW122" s="69"/>
      <c r="NYX122" s="69"/>
      <c r="NYY122" s="69"/>
      <c r="NYZ122" s="69"/>
      <c r="NZA122" s="69"/>
      <c r="NZB122" s="69"/>
      <c r="NZC122" s="69"/>
      <c r="NZD122" s="69"/>
      <c r="NZE122" s="69"/>
      <c r="NZF122" s="69"/>
      <c r="NZG122" s="69"/>
      <c r="NZH122" s="69"/>
      <c r="NZI122" s="69"/>
      <c r="NZJ122" s="69"/>
      <c r="NZK122" s="69"/>
      <c r="NZL122" s="69"/>
      <c r="NZM122" s="69"/>
      <c r="NZN122" s="69"/>
      <c r="NZO122" s="69"/>
      <c r="NZP122" s="69"/>
      <c r="NZQ122" s="69"/>
      <c r="NZR122" s="69"/>
      <c r="NZS122" s="69"/>
      <c r="NZT122" s="69"/>
      <c r="NZU122" s="69"/>
      <c r="NZV122" s="69"/>
      <c r="NZW122" s="69"/>
      <c r="NZX122" s="69"/>
      <c r="NZY122" s="69"/>
      <c r="NZZ122" s="69"/>
      <c r="OAA122" s="69"/>
      <c r="OAB122" s="69"/>
      <c r="OAC122" s="69"/>
      <c r="OAD122" s="69"/>
      <c r="OAE122" s="69"/>
      <c r="OAF122" s="69"/>
      <c r="OAG122" s="69"/>
      <c r="OAH122" s="69"/>
      <c r="OAI122" s="69"/>
      <c r="OAJ122" s="69"/>
      <c r="OAK122" s="69"/>
      <c r="OAL122" s="69"/>
      <c r="OAM122" s="69"/>
      <c r="OAN122" s="69"/>
      <c r="OAO122" s="69"/>
      <c r="OAP122" s="69"/>
      <c r="OAQ122" s="69"/>
      <c r="OAR122" s="69"/>
      <c r="OAS122" s="69"/>
      <c r="OAT122" s="69"/>
      <c r="OAU122" s="69"/>
      <c r="OAV122" s="69"/>
      <c r="OAW122" s="69"/>
      <c r="OAX122" s="69"/>
      <c r="OAY122" s="69"/>
      <c r="OAZ122" s="69"/>
      <c r="OBA122" s="69"/>
      <c r="OBB122" s="69"/>
      <c r="OBC122" s="69"/>
      <c r="OBD122" s="69"/>
      <c r="OBE122" s="69"/>
      <c r="OBF122" s="69"/>
      <c r="OBG122" s="69"/>
      <c r="OBH122" s="69"/>
      <c r="OBI122" s="69"/>
      <c r="OBJ122" s="69"/>
      <c r="OBK122" s="69"/>
      <c r="OBL122" s="69"/>
      <c r="OBM122" s="69"/>
      <c r="OBN122" s="69"/>
      <c r="OBO122" s="69"/>
      <c r="OBP122" s="69"/>
      <c r="OBQ122" s="69"/>
      <c r="OBR122" s="69"/>
      <c r="OBS122" s="69"/>
      <c r="OBT122" s="69"/>
      <c r="OBU122" s="69"/>
      <c r="OBV122" s="69"/>
      <c r="OBW122" s="69"/>
      <c r="OBX122" s="69"/>
      <c r="OBY122" s="69"/>
      <c r="OBZ122" s="69"/>
      <c r="OCA122" s="69"/>
      <c r="OCB122" s="69"/>
      <c r="OCC122" s="69"/>
      <c r="OCD122" s="69"/>
      <c r="OCE122" s="69"/>
      <c r="OCF122" s="69"/>
      <c r="OCG122" s="69"/>
      <c r="OCH122" s="69"/>
      <c r="OCI122" s="69"/>
      <c r="OCJ122" s="69"/>
      <c r="OCK122" s="69"/>
      <c r="OCL122" s="69"/>
      <c r="OCM122" s="69"/>
      <c r="OCN122" s="69"/>
      <c r="OCO122" s="69"/>
      <c r="OCP122" s="69"/>
      <c r="OCQ122" s="69"/>
      <c r="OCR122" s="69"/>
      <c r="OCS122" s="69"/>
      <c r="OCT122" s="69"/>
      <c r="OCU122" s="69"/>
      <c r="OCV122" s="69"/>
      <c r="OCW122" s="69"/>
      <c r="OCX122" s="69"/>
      <c r="OCY122" s="69"/>
      <c r="OCZ122" s="69"/>
      <c r="ODA122" s="69"/>
      <c r="ODB122" s="69"/>
      <c r="ODC122" s="69"/>
      <c r="ODD122" s="69"/>
      <c r="ODE122" s="69"/>
      <c r="ODF122" s="69"/>
      <c r="ODG122" s="69"/>
      <c r="ODH122" s="69"/>
      <c r="ODI122" s="69"/>
      <c r="ODJ122" s="69"/>
      <c r="ODK122" s="69"/>
      <c r="ODL122" s="69"/>
      <c r="ODM122" s="69"/>
      <c r="ODN122" s="69"/>
      <c r="ODO122" s="69"/>
      <c r="ODP122" s="69"/>
      <c r="ODQ122" s="69"/>
      <c r="ODR122" s="69"/>
      <c r="ODS122" s="69"/>
      <c r="ODT122" s="69"/>
      <c r="ODU122" s="69"/>
      <c r="ODV122" s="69"/>
      <c r="ODW122" s="69"/>
      <c r="ODX122" s="69"/>
      <c r="ODY122" s="69"/>
      <c r="ODZ122" s="69"/>
      <c r="OEA122" s="69"/>
      <c r="OEB122" s="69"/>
      <c r="OEC122" s="69"/>
      <c r="OED122" s="69"/>
      <c r="OEE122" s="69"/>
      <c r="OEF122" s="69"/>
      <c r="OEG122" s="69"/>
      <c r="OEH122" s="69"/>
      <c r="OEI122" s="69"/>
      <c r="OEJ122" s="69"/>
      <c r="OEK122" s="69"/>
      <c r="OEL122" s="69"/>
      <c r="OEM122" s="69"/>
      <c r="OEN122" s="69"/>
      <c r="OEO122" s="69"/>
      <c r="OEP122" s="69"/>
      <c r="OEQ122" s="69"/>
      <c r="OER122" s="69"/>
      <c r="OES122" s="69"/>
      <c r="OET122" s="69"/>
      <c r="OEU122" s="69"/>
      <c r="OEV122" s="69"/>
      <c r="OEW122" s="69"/>
      <c r="OEX122" s="69"/>
      <c r="OEY122" s="69"/>
      <c r="OEZ122" s="69"/>
      <c r="OFA122" s="69"/>
      <c r="OFB122" s="69"/>
      <c r="OFC122" s="69"/>
      <c r="OFD122" s="69"/>
      <c r="OFE122" s="69"/>
      <c r="OFF122" s="69"/>
      <c r="OFG122" s="69"/>
      <c r="OFH122" s="69"/>
      <c r="OFI122" s="69"/>
      <c r="OFJ122" s="69"/>
      <c r="OFK122" s="69"/>
      <c r="OFL122" s="69"/>
      <c r="OFM122" s="69"/>
      <c r="OFN122" s="69"/>
      <c r="OFO122" s="69"/>
      <c r="OFP122" s="69"/>
      <c r="OFQ122" s="69"/>
      <c r="OFR122" s="69"/>
      <c r="OFS122" s="69"/>
      <c r="OFT122" s="69"/>
      <c r="OFU122" s="69"/>
      <c r="OFV122" s="69"/>
      <c r="OFW122" s="69"/>
      <c r="OFX122" s="69"/>
      <c r="OFY122" s="69"/>
      <c r="OFZ122" s="69"/>
      <c r="OGA122" s="69"/>
      <c r="OGB122" s="69"/>
      <c r="OGC122" s="69"/>
      <c r="OGD122" s="69"/>
      <c r="OGE122" s="69"/>
      <c r="OGF122" s="69"/>
      <c r="OGG122" s="69"/>
      <c r="OGH122" s="69"/>
      <c r="OGI122" s="69"/>
      <c r="OGJ122" s="69"/>
      <c r="OGK122" s="69"/>
      <c r="OGL122" s="69"/>
      <c r="OGM122" s="69"/>
      <c r="OGN122" s="69"/>
      <c r="OGO122" s="69"/>
      <c r="OGP122" s="69"/>
      <c r="OGQ122" s="69"/>
      <c r="OGR122" s="69"/>
      <c r="OGS122" s="69"/>
      <c r="OGT122" s="69"/>
      <c r="OGU122" s="69"/>
      <c r="OGV122" s="69"/>
      <c r="OGW122" s="69"/>
      <c r="OGX122" s="69"/>
      <c r="OGY122" s="69"/>
      <c r="OGZ122" s="69"/>
      <c r="OHA122" s="69"/>
      <c r="OHB122" s="69"/>
      <c r="OHC122" s="69"/>
      <c r="OHD122" s="69"/>
      <c r="OHE122" s="69"/>
      <c r="OHF122" s="69"/>
      <c r="OHG122" s="69"/>
      <c r="OHH122" s="69"/>
      <c r="OHI122" s="69"/>
      <c r="OHJ122" s="69"/>
      <c r="OHK122" s="69"/>
      <c r="OHL122" s="69"/>
      <c r="OHM122" s="69"/>
      <c r="OHN122" s="69"/>
      <c r="OHO122" s="69"/>
      <c r="OHP122" s="69"/>
      <c r="OHQ122" s="69"/>
      <c r="OHR122" s="69"/>
      <c r="OHS122" s="69"/>
      <c r="OHT122" s="69"/>
      <c r="OHU122" s="69"/>
      <c r="OHV122" s="69"/>
      <c r="OHW122" s="69"/>
      <c r="OHX122" s="69"/>
      <c r="OHY122" s="69"/>
      <c r="OHZ122" s="69"/>
      <c r="OIA122" s="69"/>
      <c r="OIB122" s="69"/>
      <c r="OIC122" s="69"/>
      <c r="OID122" s="69"/>
      <c r="OIE122" s="69"/>
      <c r="OIF122" s="69"/>
      <c r="OIG122" s="69"/>
      <c r="OIH122" s="69"/>
      <c r="OII122" s="69"/>
      <c r="OIJ122" s="69"/>
      <c r="OIK122" s="69"/>
      <c r="OIL122" s="69"/>
      <c r="OIM122" s="69"/>
      <c r="OIN122" s="69"/>
      <c r="OIO122" s="69"/>
      <c r="OIP122" s="69"/>
      <c r="OIQ122" s="69"/>
      <c r="OIR122" s="69"/>
      <c r="OIS122" s="69"/>
      <c r="OIT122" s="69"/>
      <c r="OIU122" s="69"/>
      <c r="OIV122" s="69"/>
      <c r="OIW122" s="69"/>
      <c r="OIX122" s="69"/>
      <c r="OIY122" s="69"/>
      <c r="OIZ122" s="69"/>
      <c r="OJA122" s="69"/>
      <c r="OJB122" s="69"/>
      <c r="OJC122" s="69"/>
      <c r="OJD122" s="69"/>
      <c r="OJE122" s="69"/>
      <c r="OJF122" s="69"/>
      <c r="OJG122" s="69"/>
      <c r="OJH122" s="69"/>
      <c r="OJI122" s="69"/>
      <c r="OJJ122" s="69"/>
      <c r="OJK122" s="69"/>
      <c r="OJL122" s="69"/>
      <c r="OJM122" s="69"/>
      <c r="OJN122" s="69"/>
      <c r="OJO122" s="69"/>
      <c r="OJP122" s="69"/>
      <c r="OJQ122" s="69"/>
      <c r="OJR122" s="69"/>
      <c r="OJS122" s="69"/>
      <c r="OJT122" s="69"/>
      <c r="OJU122" s="69"/>
      <c r="OJV122" s="69"/>
      <c r="OJW122" s="69"/>
      <c r="OJX122" s="69"/>
      <c r="OJY122" s="69"/>
      <c r="OJZ122" s="69"/>
      <c r="OKA122" s="69"/>
      <c r="OKB122" s="69"/>
      <c r="OKC122" s="69"/>
      <c r="OKD122" s="69"/>
      <c r="OKE122" s="69"/>
      <c r="OKF122" s="69"/>
      <c r="OKG122" s="69"/>
      <c r="OKH122" s="69"/>
      <c r="OKI122" s="69"/>
      <c r="OKJ122" s="69"/>
      <c r="OKK122" s="69"/>
      <c r="OKL122" s="69"/>
      <c r="OKM122" s="69"/>
      <c r="OKN122" s="69"/>
      <c r="OKO122" s="69"/>
      <c r="OKP122" s="69"/>
      <c r="OKQ122" s="69"/>
      <c r="OKR122" s="69"/>
      <c r="OKS122" s="69"/>
      <c r="OKT122" s="69"/>
      <c r="OKU122" s="69"/>
      <c r="OKV122" s="69"/>
      <c r="OKW122" s="69"/>
      <c r="OKX122" s="69"/>
      <c r="OKY122" s="69"/>
      <c r="OKZ122" s="69"/>
      <c r="OLA122" s="69"/>
      <c r="OLB122" s="69"/>
      <c r="OLC122" s="69"/>
      <c r="OLD122" s="69"/>
      <c r="OLE122" s="69"/>
      <c r="OLF122" s="69"/>
      <c r="OLG122" s="69"/>
      <c r="OLH122" s="69"/>
      <c r="OLI122" s="69"/>
      <c r="OLJ122" s="69"/>
      <c r="OLK122" s="69"/>
      <c r="OLL122" s="69"/>
      <c r="OLM122" s="69"/>
      <c r="OLN122" s="69"/>
      <c r="OLO122" s="69"/>
      <c r="OLP122" s="69"/>
      <c r="OLQ122" s="69"/>
      <c r="OLR122" s="69"/>
      <c r="OLS122" s="69"/>
      <c r="OLT122" s="69"/>
      <c r="OLU122" s="69"/>
      <c r="OLV122" s="69"/>
      <c r="OLW122" s="69"/>
      <c r="OLX122" s="69"/>
      <c r="OLY122" s="69"/>
      <c r="OLZ122" s="69"/>
      <c r="OMA122" s="69"/>
      <c r="OMB122" s="69"/>
      <c r="OMC122" s="69"/>
      <c r="OMD122" s="69"/>
      <c r="OME122" s="69"/>
      <c r="OMF122" s="69"/>
      <c r="OMG122" s="69"/>
      <c r="OMH122" s="69"/>
      <c r="OMI122" s="69"/>
      <c r="OMJ122" s="69"/>
      <c r="OMK122" s="69"/>
      <c r="OML122" s="69"/>
      <c r="OMM122" s="69"/>
      <c r="OMN122" s="69"/>
      <c r="OMO122" s="69"/>
      <c r="OMP122" s="69"/>
      <c r="OMQ122" s="69"/>
      <c r="OMR122" s="69"/>
      <c r="OMS122" s="69"/>
      <c r="OMT122" s="69"/>
      <c r="OMU122" s="69"/>
      <c r="OMV122" s="69"/>
      <c r="OMW122" s="69"/>
      <c r="OMX122" s="69"/>
      <c r="OMY122" s="69"/>
      <c r="OMZ122" s="69"/>
      <c r="ONA122" s="69"/>
      <c r="ONB122" s="69"/>
      <c r="ONC122" s="69"/>
      <c r="OND122" s="69"/>
      <c r="ONE122" s="69"/>
      <c r="ONF122" s="69"/>
      <c r="ONG122" s="69"/>
      <c r="ONH122" s="69"/>
      <c r="ONI122" s="69"/>
      <c r="ONJ122" s="69"/>
      <c r="ONK122" s="69"/>
      <c r="ONL122" s="69"/>
      <c r="ONM122" s="69"/>
      <c r="ONN122" s="69"/>
      <c r="ONO122" s="69"/>
      <c r="ONP122" s="69"/>
      <c r="ONQ122" s="69"/>
      <c r="ONR122" s="69"/>
      <c r="ONS122" s="69"/>
      <c r="ONT122" s="69"/>
      <c r="ONU122" s="69"/>
      <c r="ONV122" s="69"/>
      <c r="ONW122" s="69"/>
      <c r="ONX122" s="69"/>
      <c r="ONY122" s="69"/>
      <c r="ONZ122" s="69"/>
      <c r="OOA122" s="69"/>
      <c r="OOB122" s="69"/>
      <c r="OOC122" s="69"/>
      <c r="OOD122" s="69"/>
      <c r="OOE122" s="69"/>
      <c r="OOF122" s="69"/>
      <c r="OOG122" s="69"/>
      <c r="OOH122" s="69"/>
      <c r="OOI122" s="69"/>
      <c r="OOJ122" s="69"/>
      <c r="OOK122" s="69"/>
      <c r="OOL122" s="69"/>
      <c r="OOM122" s="69"/>
      <c r="OON122" s="69"/>
      <c r="OOO122" s="69"/>
      <c r="OOP122" s="69"/>
      <c r="OOQ122" s="69"/>
      <c r="OOR122" s="69"/>
      <c r="OOS122" s="69"/>
      <c r="OOT122" s="69"/>
      <c r="OOU122" s="69"/>
      <c r="OOV122" s="69"/>
      <c r="OOW122" s="69"/>
      <c r="OOX122" s="69"/>
      <c r="OOY122" s="69"/>
      <c r="OOZ122" s="69"/>
      <c r="OPA122" s="69"/>
      <c r="OPB122" s="69"/>
      <c r="OPC122" s="69"/>
      <c r="OPD122" s="69"/>
      <c r="OPE122" s="69"/>
      <c r="OPF122" s="69"/>
      <c r="OPG122" s="69"/>
      <c r="OPH122" s="69"/>
      <c r="OPI122" s="69"/>
      <c r="OPJ122" s="69"/>
      <c r="OPK122" s="69"/>
      <c r="OPL122" s="69"/>
      <c r="OPM122" s="69"/>
      <c r="OPN122" s="69"/>
      <c r="OPO122" s="69"/>
      <c r="OPP122" s="69"/>
      <c r="OPQ122" s="69"/>
      <c r="OPR122" s="69"/>
      <c r="OPS122" s="69"/>
      <c r="OPT122" s="69"/>
      <c r="OPU122" s="69"/>
      <c r="OPV122" s="69"/>
      <c r="OPW122" s="69"/>
      <c r="OPX122" s="69"/>
      <c r="OPY122" s="69"/>
      <c r="OPZ122" s="69"/>
      <c r="OQA122" s="69"/>
      <c r="OQB122" s="69"/>
      <c r="OQC122" s="69"/>
      <c r="OQD122" s="69"/>
      <c r="OQE122" s="69"/>
      <c r="OQF122" s="69"/>
      <c r="OQG122" s="69"/>
      <c r="OQH122" s="69"/>
      <c r="OQI122" s="69"/>
      <c r="OQJ122" s="69"/>
      <c r="OQK122" s="69"/>
      <c r="OQL122" s="69"/>
      <c r="OQM122" s="69"/>
      <c r="OQN122" s="69"/>
      <c r="OQO122" s="69"/>
      <c r="OQP122" s="69"/>
      <c r="OQQ122" s="69"/>
      <c r="OQR122" s="69"/>
      <c r="OQS122" s="69"/>
      <c r="OQT122" s="69"/>
      <c r="OQU122" s="69"/>
      <c r="OQV122" s="69"/>
      <c r="OQW122" s="69"/>
      <c r="OQX122" s="69"/>
      <c r="OQY122" s="69"/>
      <c r="OQZ122" s="69"/>
      <c r="ORA122" s="69"/>
      <c r="ORB122" s="69"/>
      <c r="ORC122" s="69"/>
      <c r="ORD122" s="69"/>
      <c r="ORE122" s="69"/>
      <c r="ORF122" s="69"/>
      <c r="ORG122" s="69"/>
      <c r="ORH122" s="69"/>
      <c r="ORI122" s="69"/>
      <c r="ORJ122" s="69"/>
      <c r="ORK122" s="69"/>
      <c r="ORL122" s="69"/>
      <c r="ORM122" s="69"/>
      <c r="ORN122" s="69"/>
      <c r="ORO122" s="69"/>
      <c r="ORP122" s="69"/>
      <c r="ORQ122" s="69"/>
      <c r="ORR122" s="69"/>
      <c r="ORS122" s="69"/>
      <c r="ORT122" s="69"/>
      <c r="ORU122" s="69"/>
      <c r="ORV122" s="69"/>
      <c r="ORW122" s="69"/>
      <c r="ORX122" s="69"/>
      <c r="ORY122" s="69"/>
      <c r="ORZ122" s="69"/>
      <c r="OSA122" s="69"/>
      <c r="OSB122" s="69"/>
      <c r="OSC122" s="69"/>
      <c r="OSD122" s="69"/>
      <c r="OSE122" s="69"/>
      <c r="OSF122" s="69"/>
      <c r="OSG122" s="69"/>
      <c r="OSH122" s="69"/>
      <c r="OSI122" s="69"/>
      <c r="OSJ122" s="69"/>
      <c r="OSK122" s="69"/>
      <c r="OSL122" s="69"/>
      <c r="OSM122" s="69"/>
      <c r="OSN122" s="69"/>
      <c r="OSO122" s="69"/>
      <c r="OSP122" s="69"/>
      <c r="OSQ122" s="69"/>
      <c r="OSR122" s="69"/>
      <c r="OSS122" s="69"/>
      <c r="OST122" s="69"/>
      <c r="OSU122" s="69"/>
      <c r="OSV122" s="69"/>
      <c r="OSW122" s="69"/>
      <c r="OSX122" s="69"/>
      <c r="OSY122" s="69"/>
      <c r="OSZ122" s="69"/>
      <c r="OTA122" s="69"/>
      <c r="OTB122" s="69"/>
      <c r="OTC122" s="69"/>
      <c r="OTD122" s="69"/>
      <c r="OTE122" s="69"/>
      <c r="OTF122" s="69"/>
      <c r="OTG122" s="69"/>
      <c r="OTH122" s="69"/>
      <c r="OTI122" s="69"/>
      <c r="OTJ122" s="69"/>
      <c r="OTK122" s="69"/>
      <c r="OTL122" s="69"/>
      <c r="OTM122" s="69"/>
      <c r="OTN122" s="69"/>
      <c r="OTO122" s="69"/>
      <c r="OTP122" s="69"/>
      <c r="OTQ122" s="69"/>
      <c r="OTR122" s="69"/>
      <c r="OTS122" s="69"/>
      <c r="OTT122" s="69"/>
      <c r="OTU122" s="69"/>
      <c r="OTV122" s="69"/>
      <c r="OTW122" s="69"/>
      <c r="OTX122" s="69"/>
      <c r="OTY122" s="69"/>
      <c r="OTZ122" s="69"/>
      <c r="OUA122" s="69"/>
      <c r="OUB122" s="69"/>
      <c r="OUC122" s="69"/>
      <c r="OUD122" s="69"/>
      <c r="OUE122" s="69"/>
      <c r="OUF122" s="69"/>
      <c r="OUG122" s="69"/>
      <c r="OUH122" s="69"/>
      <c r="OUI122" s="69"/>
      <c r="OUJ122" s="69"/>
      <c r="OUK122" s="69"/>
      <c r="OUL122" s="69"/>
      <c r="OUM122" s="69"/>
      <c r="OUN122" s="69"/>
      <c r="OUO122" s="69"/>
      <c r="OUP122" s="69"/>
      <c r="OUQ122" s="69"/>
      <c r="OUR122" s="69"/>
      <c r="OUS122" s="69"/>
      <c r="OUT122" s="69"/>
      <c r="OUU122" s="69"/>
      <c r="OUV122" s="69"/>
      <c r="OUW122" s="69"/>
      <c r="OUX122" s="69"/>
      <c r="OUY122" s="69"/>
      <c r="OUZ122" s="69"/>
      <c r="OVA122" s="69"/>
      <c r="OVB122" s="69"/>
      <c r="OVC122" s="69"/>
      <c r="OVD122" s="69"/>
      <c r="OVE122" s="69"/>
      <c r="OVF122" s="69"/>
      <c r="OVG122" s="69"/>
      <c r="OVH122" s="69"/>
      <c r="OVI122" s="69"/>
      <c r="OVJ122" s="69"/>
      <c r="OVK122" s="69"/>
      <c r="OVL122" s="69"/>
      <c r="OVM122" s="69"/>
      <c r="OVN122" s="69"/>
      <c r="OVO122" s="69"/>
      <c r="OVP122" s="69"/>
      <c r="OVQ122" s="69"/>
      <c r="OVR122" s="69"/>
      <c r="OVS122" s="69"/>
      <c r="OVT122" s="69"/>
      <c r="OVU122" s="69"/>
      <c r="OVV122" s="69"/>
      <c r="OVW122" s="69"/>
      <c r="OVX122" s="69"/>
      <c r="OVY122" s="69"/>
      <c r="OVZ122" s="69"/>
      <c r="OWA122" s="69"/>
      <c r="OWB122" s="69"/>
      <c r="OWC122" s="69"/>
      <c r="OWD122" s="69"/>
      <c r="OWE122" s="69"/>
      <c r="OWF122" s="69"/>
      <c r="OWG122" s="69"/>
      <c r="OWH122" s="69"/>
      <c r="OWI122" s="69"/>
      <c r="OWJ122" s="69"/>
      <c r="OWK122" s="69"/>
      <c r="OWL122" s="69"/>
      <c r="OWM122" s="69"/>
      <c r="OWN122" s="69"/>
      <c r="OWO122" s="69"/>
      <c r="OWP122" s="69"/>
      <c r="OWQ122" s="69"/>
      <c r="OWR122" s="69"/>
      <c r="OWS122" s="69"/>
      <c r="OWT122" s="69"/>
      <c r="OWU122" s="69"/>
      <c r="OWV122" s="69"/>
      <c r="OWW122" s="69"/>
      <c r="OWX122" s="69"/>
      <c r="OWY122" s="69"/>
      <c r="OWZ122" s="69"/>
      <c r="OXA122" s="69"/>
      <c r="OXB122" s="69"/>
      <c r="OXC122" s="69"/>
      <c r="OXD122" s="69"/>
      <c r="OXE122" s="69"/>
      <c r="OXF122" s="69"/>
      <c r="OXG122" s="69"/>
      <c r="OXH122" s="69"/>
      <c r="OXI122" s="69"/>
      <c r="OXJ122" s="69"/>
      <c r="OXK122" s="69"/>
      <c r="OXL122" s="69"/>
      <c r="OXM122" s="69"/>
      <c r="OXN122" s="69"/>
      <c r="OXO122" s="69"/>
      <c r="OXP122" s="69"/>
      <c r="OXQ122" s="69"/>
      <c r="OXR122" s="69"/>
      <c r="OXS122" s="69"/>
      <c r="OXT122" s="69"/>
      <c r="OXU122" s="69"/>
      <c r="OXV122" s="69"/>
      <c r="OXW122" s="69"/>
      <c r="OXX122" s="69"/>
      <c r="OXY122" s="69"/>
      <c r="OXZ122" s="69"/>
      <c r="OYA122" s="69"/>
      <c r="OYB122" s="69"/>
      <c r="OYC122" s="69"/>
      <c r="OYD122" s="69"/>
      <c r="OYE122" s="69"/>
      <c r="OYF122" s="69"/>
      <c r="OYG122" s="69"/>
      <c r="OYH122" s="69"/>
      <c r="OYI122" s="69"/>
      <c r="OYJ122" s="69"/>
      <c r="OYK122" s="69"/>
      <c r="OYL122" s="69"/>
      <c r="OYM122" s="69"/>
      <c r="OYN122" s="69"/>
      <c r="OYO122" s="69"/>
      <c r="OYP122" s="69"/>
      <c r="OYQ122" s="69"/>
      <c r="OYR122" s="69"/>
      <c r="OYS122" s="69"/>
      <c r="OYT122" s="69"/>
      <c r="OYU122" s="69"/>
      <c r="OYV122" s="69"/>
      <c r="OYW122" s="69"/>
      <c r="OYX122" s="69"/>
      <c r="OYY122" s="69"/>
      <c r="OYZ122" s="69"/>
      <c r="OZA122" s="69"/>
      <c r="OZB122" s="69"/>
      <c r="OZC122" s="69"/>
      <c r="OZD122" s="69"/>
      <c r="OZE122" s="69"/>
      <c r="OZF122" s="69"/>
      <c r="OZG122" s="69"/>
      <c r="OZH122" s="69"/>
      <c r="OZI122" s="69"/>
      <c r="OZJ122" s="69"/>
      <c r="OZK122" s="69"/>
      <c r="OZL122" s="69"/>
      <c r="OZM122" s="69"/>
      <c r="OZN122" s="69"/>
      <c r="OZO122" s="69"/>
      <c r="OZP122" s="69"/>
      <c r="OZQ122" s="69"/>
      <c r="OZR122" s="69"/>
      <c r="OZS122" s="69"/>
      <c r="OZT122" s="69"/>
      <c r="OZU122" s="69"/>
      <c r="OZV122" s="69"/>
      <c r="OZW122" s="69"/>
      <c r="OZX122" s="69"/>
      <c r="OZY122" s="69"/>
      <c r="OZZ122" s="69"/>
      <c r="PAA122" s="69"/>
      <c r="PAB122" s="69"/>
      <c r="PAC122" s="69"/>
      <c r="PAD122" s="69"/>
      <c r="PAE122" s="69"/>
      <c r="PAF122" s="69"/>
      <c r="PAG122" s="69"/>
      <c r="PAH122" s="69"/>
      <c r="PAI122" s="69"/>
      <c r="PAJ122" s="69"/>
      <c r="PAK122" s="69"/>
      <c r="PAL122" s="69"/>
      <c r="PAM122" s="69"/>
      <c r="PAN122" s="69"/>
      <c r="PAO122" s="69"/>
      <c r="PAP122" s="69"/>
      <c r="PAQ122" s="69"/>
      <c r="PAR122" s="69"/>
      <c r="PAS122" s="69"/>
      <c r="PAT122" s="69"/>
      <c r="PAU122" s="69"/>
      <c r="PAV122" s="69"/>
      <c r="PAW122" s="69"/>
      <c r="PAX122" s="69"/>
      <c r="PAY122" s="69"/>
      <c r="PAZ122" s="69"/>
      <c r="PBA122" s="69"/>
      <c r="PBB122" s="69"/>
      <c r="PBC122" s="69"/>
      <c r="PBD122" s="69"/>
      <c r="PBE122" s="69"/>
      <c r="PBF122" s="69"/>
      <c r="PBG122" s="69"/>
      <c r="PBH122" s="69"/>
      <c r="PBI122" s="69"/>
      <c r="PBJ122" s="69"/>
      <c r="PBK122" s="69"/>
      <c r="PBL122" s="69"/>
      <c r="PBM122" s="69"/>
      <c r="PBN122" s="69"/>
      <c r="PBO122" s="69"/>
      <c r="PBP122" s="69"/>
      <c r="PBQ122" s="69"/>
      <c r="PBR122" s="69"/>
      <c r="PBS122" s="69"/>
      <c r="PBT122" s="69"/>
      <c r="PBU122" s="69"/>
      <c r="PBV122" s="69"/>
      <c r="PBW122" s="69"/>
      <c r="PBX122" s="69"/>
      <c r="PBY122" s="69"/>
      <c r="PBZ122" s="69"/>
      <c r="PCA122" s="69"/>
      <c r="PCB122" s="69"/>
      <c r="PCC122" s="69"/>
      <c r="PCD122" s="69"/>
      <c r="PCE122" s="69"/>
      <c r="PCF122" s="69"/>
      <c r="PCG122" s="69"/>
      <c r="PCH122" s="69"/>
      <c r="PCI122" s="69"/>
      <c r="PCJ122" s="69"/>
      <c r="PCK122" s="69"/>
      <c r="PCL122" s="69"/>
      <c r="PCM122" s="69"/>
      <c r="PCN122" s="69"/>
      <c r="PCO122" s="69"/>
      <c r="PCP122" s="69"/>
      <c r="PCQ122" s="69"/>
      <c r="PCR122" s="69"/>
      <c r="PCS122" s="69"/>
      <c r="PCT122" s="69"/>
      <c r="PCU122" s="69"/>
      <c r="PCV122" s="69"/>
      <c r="PCW122" s="69"/>
      <c r="PCX122" s="69"/>
      <c r="PCY122" s="69"/>
      <c r="PCZ122" s="69"/>
      <c r="PDA122" s="69"/>
      <c r="PDB122" s="69"/>
      <c r="PDC122" s="69"/>
      <c r="PDD122" s="69"/>
      <c r="PDE122" s="69"/>
      <c r="PDF122" s="69"/>
      <c r="PDG122" s="69"/>
      <c r="PDH122" s="69"/>
      <c r="PDI122" s="69"/>
      <c r="PDJ122" s="69"/>
      <c r="PDK122" s="69"/>
      <c r="PDL122" s="69"/>
      <c r="PDM122" s="69"/>
      <c r="PDN122" s="69"/>
      <c r="PDO122" s="69"/>
      <c r="PDP122" s="69"/>
      <c r="PDQ122" s="69"/>
      <c r="PDR122" s="69"/>
      <c r="PDS122" s="69"/>
      <c r="PDT122" s="69"/>
      <c r="PDU122" s="69"/>
      <c r="PDV122" s="69"/>
      <c r="PDW122" s="69"/>
      <c r="PDX122" s="69"/>
      <c r="PDY122" s="69"/>
      <c r="PDZ122" s="69"/>
      <c r="PEA122" s="69"/>
      <c r="PEB122" s="69"/>
      <c r="PEC122" s="69"/>
      <c r="PED122" s="69"/>
      <c r="PEE122" s="69"/>
      <c r="PEF122" s="69"/>
      <c r="PEG122" s="69"/>
      <c r="PEH122" s="69"/>
      <c r="PEI122" s="69"/>
      <c r="PEJ122" s="69"/>
      <c r="PEK122" s="69"/>
      <c r="PEL122" s="69"/>
      <c r="PEM122" s="69"/>
      <c r="PEN122" s="69"/>
      <c r="PEO122" s="69"/>
      <c r="PEP122" s="69"/>
      <c r="PEQ122" s="69"/>
      <c r="PER122" s="69"/>
      <c r="PES122" s="69"/>
      <c r="PET122" s="69"/>
      <c r="PEU122" s="69"/>
      <c r="PEV122" s="69"/>
      <c r="PEW122" s="69"/>
      <c r="PEX122" s="69"/>
      <c r="PEY122" s="69"/>
      <c r="PEZ122" s="69"/>
      <c r="PFA122" s="69"/>
      <c r="PFB122" s="69"/>
      <c r="PFC122" s="69"/>
      <c r="PFD122" s="69"/>
      <c r="PFE122" s="69"/>
      <c r="PFF122" s="69"/>
      <c r="PFG122" s="69"/>
      <c r="PFH122" s="69"/>
      <c r="PFI122" s="69"/>
      <c r="PFJ122" s="69"/>
      <c r="PFK122" s="69"/>
      <c r="PFL122" s="69"/>
      <c r="PFM122" s="69"/>
      <c r="PFN122" s="69"/>
      <c r="PFO122" s="69"/>
      <c r="PFP122" s="69"/>
      <c r="PFQ122" s="69"/>
      <c r="PFR122" s="69"/>
      <c r="PFS122" s="69"/>
      <c r="PFT122" s="69"/>
      <c r="PFU122" s="69"/>
      <c r="PFV122" s="69"/>
      <c r="PFW122" s="69"/>
      <c r="PFX122" s="69"/>
      <c r="PFY122" s="69"/>
      <c r="PFZ122" s="69"/>
      <c r="PGA122" s="69"/>
      <c r="PGB122" s="69"/>
      <c r="PGC122" s="69"/>
      <c r="PGD122" s="69"/>
      <c r="PGE122" s="69"/>
      <c r="PGF122" s="69"/>
      <c r="PGG122" s="69"/>
      <c r="PGH122" s="69"/>
      <c r="PGI122" s="69"/>
      <c r="PGJ122" s="69"/>
      <c r="PGK122" s="69"/>
      <c r="PGL122" s="69"/>
      <c r="PGM122" s="69"/>
      <c r="PGN122" s="69"/>
      <c r="PGO122" s="69"/>
      <c r="PGP122" s="69"/>
      <c r="PGQ122" s="69"/>
      <c r="PGR122" s="69"/>
      <c r="PGS122" s="69"/>
      <c r="PGT122" s="69"/>
      <c r="PGU122" s="69"/>
      <c r="PGV122" s="69"/>
      <c r="PGW122" s="69"/>
      <c r="PGX122" s="69"/>
      <c r="PGY122" s="69"/>
      <c r="PGZ122" s="69"/>
      <c r="PHA122" s="69"/>
      <c r="PHB122" s="69"/>
      <c r="PHC122" s="69"/>
      <c r="PHD122" s="69"/>
      <c r="PHE122" s="69"/>
      <c r="PHF122" s="69"/>
      <c r="PHG122" s="69"/>
      <c r="PHH122" s="69"/>
      <c r="PHI122" s="69"/>
      <c r="PHJ122" s="69"/>
      <c r="PHK122" s="69"/>
      <c r="PHL122" s="69"/>
      <c r="PHM122" s="69"/>
      <c r="PHN122" s="69"/>
      <c r="PHO122" s="69"/>
      <c r="PHP122" s="69"/>
      <c r="PHQ122" s="69"/>
      <c r="PHR122" s="69"/>
      <c r="PHS122" s="69"/>
      <c r="PHT122" s="69"/>
      <c r="PHU122" s="69"/>
      <c r="PHV122" s="69"/>
      <c r="PHW122" s="69"/>
      <c r="PHX122" s="69"/>
      <c r="PHY122" s="69"/>
      <c r="PHZ122" s="69"/>
      <c r="PIA122" s="69"/>
      <c r="PIB122" s="69"/>
      <c r="PIC122" s="69"/>
      <c r="PID122" s="69"/>
      <c r="PIE122" s="69"/>
      <c r="PIF122" s="69"/>
      <c r="PIG122" s="69"/>
      <c r="PIH122" s="69"/>
      <c r="PII122" s="69"/>
      <c r="PIJ122" s="69"/>
      <c r="PIK122" s="69"/>
      <c r="PIL122" s="69"/>
      <c r="PIM122" s="69"/>
      <c r="PIN122" s="69"/>
      <c r="PIO122" s="69"/>
      <c r="PIP122" s="69"/>
      <c r="PIQ122" s="69"/>
      <c r="PIR122" s="69"/>
      <c r="PIS122" s="69"/>
      <c r="PIT122" s="69"/>
      <c r="PIU122" s="69"/>
      <c r="PIV122" s="69"/>
      <c r="PIW122" s="69"/>
      <c r="PIX122" s="69"/>
      <c r="PIY122" s="69"/>
      <c r="PIZ122" s="69"/>
      <c r="PJA122" s="69"/>
      <c r="PJB122" s="69"/>
      <c r="PJC122" s="69"/>
      <c r="PJD122" s="69"/>
      <c r="PJE122" s="69"/>
      <c r="PJF122" s="69"/>
      <c r="PJG122" s="69"/>
      <c r="PJH122" s="69"/>
      <c r="PJI122" s="69"/>
      <c r="PJJ122" s="69"/>
      <c r="PJK122" s="69"/>
      <c r="PJL122" s="69"/>
      <c r="PJM122" s="69"/>
      <c r="PJN122" s="69"/>
      <c r="PJO122" s="69"/>
      <c r="PJP122" s="69"/>
      <c r="PJQ122" s="69"/>
      <c r="PJR122" s="69"/>
      <c r="PJS122" s="69"/>
      <c r="PJT122" s="69"/>
      <c r="PJU122" s="69"/>
      <c r="PJV122" s="69"/>
      <c r="PJW122" s="69"/>
      <c r="PJX122" s="69"/>
      <c r="PJY122" s="69"/>
      <c r="PJZ122" s="69"/>
      <c r="PKA122" s="69"/>
      <c r="PKB122" s="69"/>
      <c r="PKC122" s="69"/>
      <c r="PKD122" s="69"/>
      <c r="PKE122" s="69"/>
      <c r="PKF122" s="69"/>
      <c r="PKG122" s="69"/>
      <c r="PKH122" s="69"/>
      <c r="PKI122" s="69"/>
      <c r="PKJ122" s="69"/>
      <c r="PKK122" s="69"/>
      <c r="PKL122" s="69"/>
      <c r="PKM122" s="69"/>
      <c r="PKN122" s="69"/>
      <c r="PKO122" s="69"/>
      <c r="PKP122" s="69"/>
      <c r="PKQ122" s="69"/>
      <c r="PKR122" s="69"/>
      <c r="PKS122" s="69"/>
      <c r="PKT122" s="69"/>
      <c r="PKU122" s="69"/>
      <c r="PKV122" s="69"/>
      <c r="PKW122" s="69"/>
      <c r="PKX122" s="69"/>
      <c r="PKY122" s="69"/>
      <c r="PKZ122" s="69"/>
      <c r="PLA122" s="69"/>
      <c r="PLB122" s="69"/>
      <c r="PLC122" s="69"/>
      <c r="PLD122" s="69"/>
      <c r="PLE122" s="69"/>
      <c r="PLF122" s="69"/>
      <c r="PLG122" s="69"/>
      <c r="PLH122" s="69"/>
      <c r="PLI122" s="69"/>
      <c r="PLJ122" s="69"/>
      <c r="PLK122" s="69"/>
      <c r="PLL122" s="69"/>
      <c r="PLM122" s="69"/>
      <c r="PLN122" s="69"/>
      <c r="PLO122" s="69"/>
      <c r="PLP122" s="69"/>
      <c r="PLQ122" s="69"/>
      <c r="PLR122" s="69"/>
      <c r="PLS122" s="69"/>
      <c r="PLT122" s="69"/>
      <c r="PLU122" s="69"/>
      <c r="PLV122" s="69"/>
      <c r="PLW122" s="69"/>
      <c r="PLX122" s="69"/>
      <c r="PLY122" s="69"/>
      <c r="PLZ122" s="69"/>
      <c r="PMA122" s="69"/>
      <c r="PMB122" s="69"/>
      <c r="PMC122" s="69"/>
      <c r="PMD122" s="69"/>
      <c r="PME122" s="69"/>
      <c r="PMF122" s="69"/>
      <c r="PMG122" s="69"/>
      <c r="PMH122" s="69"/>
      <c r="PMI122" s="69"/>
      <c r="PMJ122" s="69"/>
      <c r="PMK122" s="69"/>
      <c r="PML122" s="69"/>
      <c r="PMM122" s="69"/>
      <c r="PMN122" s="69"/>
      <c r="PMO122" s="69"/>
      <c r="PMP122" s="69"/>
      <c r="PMQ122" s="69"/>
      <c r="PMR122" s="69"/>
      <c r="PMS122" s="69"/>
      <c r="PMT122" s="69"/>
      <c r="PMU122" s="69"/>
      <c r="PMV122" s="69"/>
      <c r="PMW122" s="69"/>
      <c r="PMX122" s="69"/>
      <c r="PMY122" s="69"/>
      <c r="PMZ122" s="69"/>
      <c r="PNA122" s="69"/>
      <c r="PNB122" s="69"/>
      <c r="PNC122" s="69"/>
      <c r="PND122" s="69"/>
      <c r="PNE122" s="69"/>
      <c r="PNF122" s="69"/>
      <c r="PNG122" s="69"/>
      <c r="PNH122" s="69"/>
      <c r="PNI122" s="69"/>
      <c r="PNJ122" s="69"/>
      <c r="PNK122" s="69"/>
      <c r="PNL122" s="69"/>
      <c r="PNM122" s="69"/>
      <c r="PNN122" s="69"/>
      <c r="PNO122" s="69"/>
      <c r="PNP122" s="69"/>
      <c r="PNQ122" s="69"/>
      <c r="PNR122" s="69"/>
      <c r="PNS122" s="69"/>
      <c r="PNT122" s="69"/>
      <c r="PNU122" s="69"/>
      <c r="PNV122" s="69"/>
      <c r="PNW122" s="69"/>
      <c r="PNX122" s="69"/>
      <c r="PNY122" s="69"/>
      <c r="PNZ122" s="69"/>
      <c r="POA122" s="69"/>
      <c r="POB122" s="69"/>
      <c r="POC122" s="69"/>
      <c r="POD122" s="69"/>
      <c r="POE122" s="69"/>
      <c r="POF122" s="69"/>
      <c r="POG122" s="69"/>
      <c r="POH122" s="69"/>
      <c r="POI122" s="69"/>
      <c r="POJ122" s="69"/>
      <c r="POK122" s="69"/>
      <c r="POL122" s="69"/>
      <c r="POM122" s="69"/>
      <c r="PON122" s="69"/>
      <c r="POO122" s="69"/>
      <c r="POP122" s="69"/>
      <c r="POQ122" s="69"/>
      <c r="POR122" s="69"/>
      <c r="POS122" s="69"/>
      <c r="POT122" s="69"/>
      <c r="POU122" s="69"/>
      <c r="POV122" s="69"/>
      <c r="POW122" s="69"/>
      <c r="POX122" s="69"/>
      <c r="POY122" s="69"/>
      <c r="POZ122" s="69"/>
      <c r="PPA122" s="69"/>
      <c r="PPB122" s="69"/>
      <c r="PPC122" s="69"/>
      <c r="PPD122" s="69"/>
      <c r="PPE122" s="69"/>
      <c r="PPF122" s="69"/>
      <c r="PPG122" s="69"/>
      <c r="PPH122" s="69"/>
      <c r="PPI122" s="69"/>
      <c r="PPJ122" s="69"/>
      <c r="PPK122" s="69"/>
      <c r="PPL122" s="69"/>
      <c r="PPM122" s="69"/>
      <c r="PPN122" s="69"/>
      <c r="PPO122" s="69"/>
      <c r="PPP122" s="69"/>
      <c r="PPQ122" s="69"/>
      <c r="PPR122" s="69"/>
      <c r="PPS122" s="69"/>
      <c r="PPT122" s="69"/>
      <c r="PPU122" s="69"/>
      <c r="PPV122" s="69"/>
      <c r="PPW122" s="69"/>
      <c r="PPX122" s="69"/>
      <c r="PPY122" s="69"/>
      <c r="PPZ122" s="69"/>
      <c r="PQA122" s="69"/>
      <c r="PQB122" s="69"/>
      <c r="PQC122" s="69"/>
      <c r="PQD122" s="69"/>
      <c r="PQE122" s="69"/>
      <c r="PQF122" s="69"/>
      <c r="PQG122" s="69"/>
      <c r="PQH122" s="69"/>
      <c r="PQI122" s="69"/>
      <c r="PQJ122" s="69"/>
      <c r="PQK122" s="69"/>
      <c r="PQL122" s="69"/>
      <c r="PQM122" s="69"/>
      <c r="PQN122" s="69"/>
      <c r="PQO122" s="69"/>
      <c r="PQP122" s="69"/>
      <c r="PQQ122" s="69"/>
      <c r="PQR122" s="69"/>
      <c r="PQS122" s="69"/>
      <c r="PQT122" s="69"/>
      <c r="PQU122" s="69"/>
      <c r="PQV122" s="69"/>
      <c r="PQW122" s="69"/>
      <c r="PQX122" s="69"/>
      <c r="PQY122" s="69"/>
      <c r="PQZ122" s="69"/>
      <c r="PRA122" s="69"/>
      <c r="PRB122" s="69"/>
      <c r="PRC122" s="69"/>
      <c r="PRD122" s="69"/>
      <c r="PRE122" s="69"/>
      <c r="PRF122" s="69"/>
      <c r="PRG122" s="69"/>
      <c r="PRH122" s="69"/>
      <c r="PRI122" s="69"/>
      <c r="PRJ122" s="69"/>
      <c r="PRK122" s="69"/>
      <c r="PRL122" s="69"/>
      <c r="PRM122" s="69"/>
      <c r="PRN122" s="69"/>
      <c r="PRO122" s="69"/>
      <c r="PRP122" s="69"/>
      <c r="PRQ122" s="69"/>
      <c r="PRR122" s="69"/>
      <c r="PRS122" s="69"/>
      <c r="PRT122" s="69"/>
      <c r="PRU122" s="69"/>
      <c r="PRV122" s="69"/>
      <c r="PRW122" s="69"/>
      <c r="PRX122" s="69"/>
      <c r="PRY122" s="69"/>
      <c r="PRZ122" s="69"/>
      <c r="PSA122" s="69"/>
      <c r="PSB122" s="69"/>
      <c r="PSC122" s="69"/>
      <c r="PSD122" s="69"/>
      <c r="PSE122" s="69"/>
      <c r="PSF122" s="69"/>
      <c r="PSG122" s="69"/>
      <c r="PSH122" s="69"/>
      <c r="PSI122" s="69"/>
      <c r="PSJ122" s="69"/>
      <c r="PSK122" s="69"/>
      <c r="PSL122" s="69"/>
      <c r="PSM122" s="69"/>
      <c r="PSN122" s="69"/>
      <c r="PSO122" s="69"/>
      <c r="PSP122" s="69"/>
      <c r="PSQ122" s="69"/>
      <c r="PSR122" s="69"/>
      <c r="PSS122" s="69"/>
      <c r="PST122" s="69"/>
      <c r="PSU122" s="69"/>
      <c r="PSV122" s="69"/>
      <c r="PSW122" s="69"/>
      <c r="PSX122" s="69"/>
      <c r="PSY122" s="69"/>
      <c r="PSZ122" s="69"/>
      <c r="PTA122" s="69"/>
      <c r="PTB122" s="69"/>
      <c r="PTC122" s="69"/>
      <c r="PTD122" s="69"/>
      <c r="PTE122" s="69"/>
      <c r="PTF122" s="69"/>
      <c r="PTG122" s="69"/>
      <c r="PTH122" s="69"/>
      <c r="PTI122" s="69"/>
      <c r="PTJ122" s="69"/>
      <c r="PTK122" s="69"/>
      <c r="PTL122" s="69"/>
      <c r="PTM122" s="69"/>
      <c r="PTN122" s="69"/>
      <c r="PTO122" s="69"/>
      <c r="PTP122" s="69"/>
      <c r="PTQ122" s="69"/>
      <c r="PTR122" s="69"/>
      <c r="PTS122" s="69"/>
      <c r="PTT122" s="69"/>
      <c r="PTU122" s="69"/>
      <c r="PTV122" s="69"/>
      <c r="PTW122" s="69"/>
      <c r="PTX122" s="69"/>
      <c r="PTY122" s="69"/>
      <c r="PTZ122" s="69"/>
      <c r="PUA122" s="69"/>
      <c r="PUB122" s="69"/>
      <c r="PUC122" s="69"/>
      <c r="PUD122" s="69"/>
      <c r="PUE122" s="69"/>
      <c r="PUF122" s="69"/>
      <c r="PUG122" s="69"/>
      <c r="PUH122" s="69"/>
      <c r="PUI122" s="69"/>
      <c r="PUJ122" s="69"/>
      <c r="PUK122" s="69"/>
      <c r="PUL122" s="69"/>
      <c r="PUM122" s="69"/>
      <c r="PUN122" s="69"/>
      <c r="PUO122" s="69"/>
      <c r="PUP122" s="69"/>
      <c r="PUQ122" s="69"/>
      <c r="PUR122" s="69"/>
      <c r="PUS122" s="69"/>
      <c r="PUT122" s="69"/>
      <c r="PUU122" s="69"/>
      <c r="PUV122" s="69"/>
      <c r="PUW122" s="69"/>
      <c r="PUX122" s="69"/>
      <c r="PUY122" s="69"/>
      <c r="PUZ122" s="69"/>
      <c r="PVA122" s="69"/>
      <c r="PVB122" s="69"/>
      <c r="PVC122" s="69"/>
      <c r="PVD122" s="69"/>
      <c r="PVE122" s="69"/>
      <c r="PVF122" s="69"/>
      <c r="PVG122" s="69"/>
      <c r="PVH122" s="69"/>
      <c r="PVI122" s="69"/>
      <c r="PVJ122" s="69"/>
      <c r="PVK122" s="69"/>
      <c r="PVL122" s="69"/>
      <c r="PVM122" s="69"/>
      <c r="PVN122" s="69"/>
      <c r="PVO122" s="69"/>
      <c r="PVP122" s="69"/>
      <c r="PVQ122" s="69"/>
      <c r="PVR122" s="69"/>
      <c r="PVS122" s="69"/>
      <c r="PVT122" s="69"/>
      <c r="PVU122" s="69"/>
      <c r="PVV122" s="69"/>
      <c r="PVW122" s="69"/>
      <c r="PVX122" s="69"/>
      <c r="PVY122" s="69"/>
      <c r="PVZ122" s="69"/>
      <c r="PWA122" s="69"/>
      <c r="PWB122" s="69"/>
      <c r="PWC122" s="69"/>
      <c r="PWD122" s="69"/>
      <c r="PWE122" s="69"/>
      <c r="PWF122" s="69"/>
      <c r="PWG122" s="69"/>
      <c r="PWH122" s="69"/>
      <c r="PWI122" s="69"/>
      <c r="PWJ122" s="69"/>
      <c r="PWK122" s="69"/>
      <c r="PWL122" s="69"/>
      <c r="PWM122" s="69"/>
      <c r="PWN122" s="69"/>
      <c r="PWO122" s="69"/>
      <c r="PWP122" s="69"/>
      <c r="PWQ122" s="69"/>
      <c r="PWR122" s="69"/>
      <c r="PWS122" s="69"/>
      <c r="PWT122" s="69"/>
      <c r="PWU122" s="69"/>
      <c r="PWV122" s="69"/>
      <c r="PWW122" s="69"/>
      <c r="PWX122" s="69"/>
      <c r="PWY122" s="69"/>
      <c r="PWZ122" s="69"/>
      <c r="PXA122" s="69"/>
      <c r="PXB122" s="69"/>
      <c r="PXC122" s="69"/>
      <c r="PXD122" s="69"/>
      <c r="PXE122" s="69"/>
      <c r="PXF122" s="69"/>
      <c r="PXG122" s="69"/>
      <c r="PXH122" s="69"/>
      <c r="PXI122" s="69"/>
      <c r="PXJ122" s="69"/>
      <c r="PXK122" s="69"/>
      <c r="PXL122" s="69"/>
      <c r="PXM122" s="69"/>
      <c r="PXN122" s="69"/>
      <c r="PXO122" s="69"/>
      <c r="PXP122" s="69"/>
      <c r="PXQ122" s="69"/>
      <c r="PXR122" s="69"/>
      <c r="PXS122" s="69"/>
      <c r="PXT122" s="69"/>
      <c r="PXU122" s="69"/>
      <c r="PXV122" s="69"/>
      <c r="PXW122" s="69"/>
      <c r="PXX122" s="69"/>
      <c r="PXY122" s="69"/>
      <c r="PXZ122" s="69"/>
      <c r="PYA122" s="69"/>
      <c r="PYB122" s="69"/>
      <c r="PYC122" s="69"/>
      <c r="PYD122" s="69"/>
      <c r="PYE122" s="69"/>
      <c r="PYF122" s="69"/>
      <c r="PYG122" s="69"/>
      <c r="PYH122" s="69"/>
      <c r="PYI122" s="69"/>
      <c r="PYJ122" s="69"/>
      <c r="PYK122" s="69"/>
      <c r="PYL122" s="69"/>
      <c r="PYM122" s="69"/>
      <c r="PYN122" s="69"/>
      <c r="PYO122" s="69"/>
      <c r="PYP122" s="69"/>
      <c r="PYQ122" s="69"/>
      <c r="PYR122" s="69"/>
      <c r="PYS122" s="69"/>
      <c r="PYT122" s="69"/>
      <c r="PYU122" s="69"/>
      <c r="PYV122" s="69"/>
      <c r="PYW122" s="69"/>
      <c r="PYX122" s="69"/>
      <c r="PYY122" s="69"/>
      <c r="PYZ122" s="69"/>
      <c r="PZA122" s="69"/>
      <c r="PZB122" s="69"/>
      <c r="PZC122" s="69"/>
      <c r="PZD122" s="69"/>
      <c r="PZE122" s="69"/>
      <c r="PZF122" s="69"/>
      <c r="PZG122" s="69"/>
      <c r="PZH122" s="69"/>
      <c r="PZI122" s="69"/>
      <c r="PZJ122" s="69"/>
      <c r="PZK122" s="69"/>
      <c r="PZL122" s="69"/>
      <c r="PZM122" s="69"/>
      <c r="PZN122" s="69"/>
      <c r="PZO122" s="69"/>
      <c r="PZP122" s="69"/>
      <c r="PZQ122" s="69"/>
      <c r="PZR122" s="69"/>
      <c r="PZS122" s="69"/>
      <c r="PZT122" s="69"/>
      <c r="PZU122" s="69"/>
      <c r="PZV122" s="69"/>
      <c r="PZW122" s="69"/>
      <c r="PZX122" s="69"/>
      <c r="PZY122" s="69"/>
      <c r="PZZ122" s="69"/>
      <c r="QAA122" s="69"/>
      <c r="QAB122" s="69"/>
      <c r="QAC122" s="69"/>
      <c r="QAD122" s="69"/>
      <c r="QAE122" s="69"/>
      <c r="QAF122" s="69"/>
      <c r="QAG122" s="69"/>
      <c r="QAH122" s="69"/>
      <c r="QAI122" s="69"/>
      <c r="QAJ122" s="69"/>
      <c r="QAK122" s="69"/>
      <c r="QAL122" s="69"/>
      <c r="QAM122" s="69"/>
      <c r="QAN122" s="69"/>
      <c r="QAO122" s="69"/>
      <c r="QAP122" s="69"/>
      <c r="QAQ122" s="69"/>
      <c r="QAR122" s="69"/>
      <c r="QAS122" s="69"/>
      <c r="QAT122" s="69"/>
      <c r="QAU122" s="69"/>
      <c r="QAV122" s="69"/>
      <c r="QAW122" s="69"/>
      <c r="QAX122" s="69"/>
      <c r="QAY122" s="69"/>
      <c r="QAZ122" s="69"/>
      <c r="QBA122" s="69"/>
      <c r="QBB122" s="69"/>
      <c r="QBC122" s="69"/>
      <c r="QBD122" s="69"/>
      <c r="QBE122" s="69"/>
      <c r="QBF122" s="69"/>
      <c r="QBG122" s="69"/>
      <c r="QBH122" s="69"/>
      <c r="QBI122" s="69"/>
      <c r="QBJ122" s="69"/>
      <c r="QBK122" s="69"/>
      <c r="QBL122" s="69"/>
      <c r="QBM122" s="69"/>
      <c r="QBN122" s="69"/>
      <c r="QBO122" s="69"/>
      <c r="QBP122" s="69"/>
      <c r="QBQ122" s="69"/>
      <c r="QBR122" s="69"/>
      <c r="QBS122" s="69"/>
      <c r="QBT122" s="69"/>
      <c r="QBU122" s="69"/>
      <c r="QBV122" s="69"/>
      <c r="QBW122" s="69"/>
      <c r="QBX122" s="69"/>
      <c r="QBY122" s="69"/>
      <c r="QBZ122" s="69"/>
      <c r="QCA122" s="69"/>
      <c r="QCB122" s="69"/>
      <c r="QCC122" s="69"/>
      <c r="QCD122" s="69"/>
      <c r="QCE122" s="69"/>
      <c r="QCF122" s="69"/>
      <c r="QCG122" s="69"/>
      <c r="QCH122" s="69"/>
      <c r="QCI122" s="69"/>
      <c r="QCJ122" s="69"/>
      <c r="QCK122" s="69"/>
      <c r="QCL122" s="69"/>
      <c r="QCM122" s="69"/>
      <c r="QCN122" s="69"/>
      <c r="QCO122" s="69"/>
      <c r="QCP122" s="69"/>
      <c r="QCQ122" s="69"/>
      <c r="QCR122" s="69"/>
      <c r="QCS122" s="69"/>
      <c r="QCT122" s="69"/>
      <c r="QCU122" s="69"/>
      <c r="QCV122" s="69"/>
      <c r="QCW122" s="69"/>
      <c r="QCX122" s="69"/>
      <c r="QCY122" s="69"/>
      <c r="QCZ122" s="69"/>
      <c r="QDA122" s="69"/>
      <c r="QDB122" s="69"/>
      <c r="QDC122" s="69"/>
      <c r="QDD122" s="69"/>
      <c r="QDE122" s="69"/>
      <c r="QDF122" s="69"/>
      <c r="QDG122" s="69"/>
      <c r="QDH122" s="69"/>
      <c r="QDI122" s="69"/>
      <c r="QDJ122" s="69"/>
      <c r="QDK122" s="69"/>
      <c r="QDL122" s="69"/>
      <c r="QDM122" s="69"/>
      <c r="QDN122" s="69"/>
      <c r="QDO122" s="69"/>
      <c r="QDP122" s="69"/>
      <c r="QDQ122" s="69"/>
      <c r="QDR122" s="69"/>
      <c r="QDS122" s="69"/>
      <c r="QDT122" s="69"/>
      <c r="QDU122" s="69"/>
      <c r="QDV122" s="69"/>
      <c r="QDW122" s="69"/>
      <c r="QDX122" s="69"/>
      <c r="QDY122" s="69"/>
      <c r="QDZ122" s="69"/>
      <c r="QEA122" s="69"/>
      <c r="QEB122" s="69"/>
      <c r="QEC122" s="69"/>
      <c r="QED122" s="69"/>
      <c r="QEE122" s="69"/>
      <c r="QEF122" s="69"/>
      <c r="QEG122" s="69"/>
      <c r="QEH122" s="69"/>
      <c r="QEI122" s="69"/>
      <c r="QEJ122" s="69"/>
      <c r="QEK122" s="69"/>
      <c r="QEL122" s="69"/>
      <c r="QEM122" s="69"/>
      <c r="QEN122" s="69"/>
      <c r="QEO122" s="69"/>
      <c r="QEP122" s="69"/>
      <c r="QEQ122" s="69"/>
      <c r="QER122" s="69"/>
      <c r="QES122" s="69"/>
      <c r="QET122" s="69"/>
      <c r="QEU122" s="69"/>
      <c r="QEV122" s="69"/>
      <c r="QEW122" s="69"/>
      <c r="QEX122" s="69"/>
      <c r="QEY122" s="69"/>
      <c r="QEZ122" s="69"/>
      <c r="QFA122" s="69"/>
      <c r="QFB122" s="69"/>
      <c r="QFC122" s="69"/>
      <c r="QFD122" s="69"/>
      <c r="QFE122" s="69"/>
      <c r="QFF122" s="69"/>
      <c r="QFG122" s="69"/>
      <c r="QFH122" s="69"/>
      <c r="QFI122" s="69"/>
      <c r="QFJ122" s="69"/>
      <c r="QFK122" s="69"/>
      <c r="QFL122" s="69"/>
      <c r="QFM122" s="69"/>
      <c r="QFN122" s="69"/>
      <c r="QFO122" s="69"/>
      <c r="QFP122" s="69"/>
      <c r="QFQ122" s="69"/>
      <c r="QFR122" s="69"/>
      <c r="QFS122" s="69"/>
      <c r="QFT122" s="69"/>
      <c r="QFU122" s="69"/>
      <c r="QFV122" s="69"/>
      <c r="QFW122" s="69"/>
      <c r="QFX122" s="69"/>
      <c r="QFY122" s="69"/>
      <c r="QFZ122" s="69"/>
      <c r="QGA122" s="69"/>
      <c r="QGB122" s="69"/>
      <c r="QGC122" s="69"/>
      <c r="QGD122" s="69"/>
      <c r="QGE122" s="69"/>
      <c r="QGF122" s="69"/>
      <c r="QGG122" s="69"/>
      <c r="QGH122" s="69"/>
      <c r="QGI122" s="69"/>
      <c r="QGJ122" s="69"/>
      <c r="QGK122" s="69"/>
      <c r="QGL122" s="69"/>
      <c r="QGM122" s="69"/>
      <c r="QGN122" s="69"/>
      <c r="QGO122" s="69"/>
      <c r="QGP122" s="69"/>
      <c r="QGQ122" s="69"/>
      <c r="QGR122" s="69"/>
      <c r="QGS122" s="69"/>
      <c r="QGT122" s="69"/>
      <c r="QGU122" s="69"/>
      <c r="QGV122" s="69"/>
      <c r="QGW122" s="69"/>
      <c r="QGX122" s="69"/>
      <c r="QGY122" s="69"/>
      <c r="QGZ122" s="69"/>
      <c r="QHA122" s="69"/>
      <c r="QHB122" s="69"/>
      <c r="QHC122" s="69"/>
      <c r="QHD122" s="69"/>
      <c r="QHE122" s="69"/>
      <c r="QHF122" s="69"/>
      <c r="QHG122" s="69"/>
      <c r="QHH122" s="69"/>
      <c r="QHI122" s="69"/>
      <c r="QHJ122" s="69"/>
      <c r="QHK122" s="69"/>
      <c r="QHL122" s="69"/>
      <c r="QHM122" s="69"/>
      <c r="QHN122" s="69"/>
      <c r="QHO122" s="69"/>
      <c r="QHP122" s="69"/>
      <c r="QHQ122" s="69"/>
      <c r="QHR122" s="69"/>
      <c r="QHS122" s="69"/>
      <c r="QHT122" s="69"/>
      <c r="QHU122" s="69"/>
      <c r="QHV122" s="69"/>
      <c r="QHW122" s="69"/>
      <c r="QHX122" s="69"/>
      <c r="QHY122" s="69"/>
      <c r="QHZ122" s="69"/>
      <c r="QIA122" s="69"/>
      <c r="QIB122" s="69"/>
      <c r="QIC122" s="69"/>
      <c r="QID122" s="69"/>
      <c r="QIE122" s="69"/>
      <c r="QIF122" s="69"/>
      <c r="QIG122" s="69"/>
      <c r="QIH122" s="69"/>
      <c r="QII122" s="69"/>
      <c r="QIJ122" s="69"/>
      <c r="QIK122" s="69"/>
      <c r="QIL122" s="69"/>
      <c r="QIM122" s="69"/>
      <c r="QIN122" s="69"/>
      <c r="QIO122" s="69"/>
      <c r="QIP122" s="69"/>
      <c r="QIQ122" s="69"/>
      <c r="QIR122" s="69"/>
      <c r="QIS122" s="69"/>
      <c r="QIT122" s="69"/>
      <c r="QIU122" s="69"/>
      <c r="QIV122" s="69"/>
      <c r="QIW122" s="69"/>
      <c r="QIX122" s="69"/>
      <c r="QIY122" s="69"/>
      <c r="QIZ122" s="69"/>
      <c r="QJA122" s="69"/>
      <c r="QJB122" s="69"/>
      <c r="QJC122" s="69"/>
      <c r="QJD122" s="69"/>
      <c r="QJE122" s="69"/>
      <c r="QJF122" s="69"/>
      <c r="QJG122" s="69"/>
      <c r="QJH122" s="69"/>
      <c r="QJI122" s="69"/>
      <c r="QJJ122" s="69"/>
      <c r="QJK122" s="69"/>
      <c r="QJL122" s="69"/>
      <c r="QJM122" s="69"/>
      <c r="QJN122" s="69"/>
      <c r="QJO122" s="69"/>
      <c r="QJP122" s="69"/>
      <c r="QJQ122" s="69"/>
      <c r="QJR122" s="69"/>
      <c r="QJS122" s="69"/>
      <c r="QJT122" s="69"/>
      <c r="QJU122" s="69"/>
      <c r="QJV122" s="69"/>
      <c r="QJW122" s="69"/>
      <c r="QJX122" s="69"/>
      <c r="QJY122" s="69"/>
      <c r="QJZ122" s="69"/>
      <c r="QKA122" s="69"/>
      <c r="QKB122" s="69"/>
      <c r="QKC122" s="69"/>
      <c r="QKD122" s="69"/>
      <c r="QKE122" s="69"/>
      <c r="QKF122" s="69"/>
      <c r="QKG122" s="69"/>
      <c r="QKH122" s="69"/>
      <c r="QKI122" s="69"/>
      <c r="QKJ122" s="69"/>
      <c r="QKK122" s="69"/>
      <c r="QKL122" s="69"/>
      <c r="QKM122" s="69"/>
      <c r="QKN122" s="69"/>
      <c r="QKO122" s="69"/>
      <c r="QKP122" s="69"/>
      <c r="QKQ122" s="69"/>
      <c r="QKR122" s="69"/>
      <c r="QKS122" s="69"/>
      <c r="QKT122" s="69"/>
      <c r="QKU122" s="69"/>
      <c r="QKV122" s="69"/>
      <c r="QKW122" s="69"/>
      <c r="QKX122" s="69"/>
      <c r="QKY122" s="69"/>
      <c r="QKZ122" s="69"/>
      <c r="QLA122" s="69"/>
      <c r="QLB122" s="69"/>
      <c r="QLC122" s="69"/>
      <c r="QLD122" s="69"/>
      <c r="QLE122" s="69"/>
      <c r="QLF122" s="69"/>
      <c r="QLG122" s="69"/>
      <c r="QLH122" s="69"/>
      <c r="QLI122" s="69"/>
      <c r="QLJ122" s="69"/>
      <c r="QLK122" s="69"/>
      <c r="QLL122" s="69"/>
      <c r="QLM122" s="69"/>
      <c r="QLN122" s="69"/>
      <c r="QLO122" s="69"/>
      <c r="QLP122" s="69"/>
      <c r="QLQ122" s="69"/>
      <c r="QLR122" s="69"/>
      <c r="QLS122" s="69"/>
      <c r="QLT122" s="69"/>
      <c r="QLU122" s="69"/>
      <c r="QLV122" s="69"/>
      <c r="QLW122" s="69"/>
      <c r="QLX122" s="69"/>
      <c r="QLY122" s="69"/>
      <c r="QLZ122" s="69"/>
      <c r="QMA122" s="69"/>
      <c r="QMB122" s="69"/>
      <c r="QMC122" s="69"/>
      <c r="QMD122" s="69"/>
      <c r="QME122" s="69"/>
      <c r="QMF122" s="69"/>
      <c r="QMG122" s="69"/>
      <c r="QMH122" s="69"/>
      <c r="QMI122" s="69"/>
      <c r="QMJ122" s="69"/>
      <c r="QMK122" s="69"/>
      <c r="QML122" s="69"/>
      <c r="QMM122" s="69"/>
      <c r="QMN122" s="69"/>
      <c r="QMO122" s="69"/>
      <c r="QMP122" s="69"/>
      <c r="QMQ122" s="69"/>
      <c r="QMR122" s="69"/>
      <c r="QMS122" s="69"/>
      <c r="QMT122" s="69"/>
      <c r="QMU122" s="69"/>
      <c r="QMV122" s="69"/>
      <c r="QMW122" s="69"/>
      <c r="QMX122" s="69"/>
      <c r="QMY122" s="69"/>
      <c r="QMZ122" s="69"/>
      <c r="QNA122" s="69"/>
      <c r="QNB122" s="69"/>
      <c r="QNC122" s="69"/>
      <c r="QND122" s="69"/>
      <c r="QNE122" s="69"/>
      <c r="QNF122" s="69"/>
      <c r="QNG122" s="69"/>
      <c r="QNH122" s="69"/>
      <c r="QNI122" s="69"/>
      <c r="QNJ122" s="69"/>
      <c r="QNK122" s="69"/>
      <c r="QNL122" s="69"/>
      <c r="QNM122" s="69"/>
      <c r="QNN122" s="69"/>
      <c r="QNO122" s="69"/>
      <c r="QNP122" s="69"/>
      <c r="QNQ122" s="69"/>
      <c r="QNR122" s="69"/>
      <c r="QNS122" s="69"/>
      <c r="QNT122" s="69"/>
      <c r="QNU122" s="69"/>
      <c r="QNV122" s="69"/>
      <c r="QNW122" s="69"/>
      <c r="QNX122" s="69"/>
      <c r="QNY122" s="69"/>
      <c r="QNZ122" s="69"/>
      <c r="QOA122" s="69"/>
      <c r="QOB122" s="69"/>
      <c r="QOC122" s="69"/>
      <c r="QOD122" s="69"/>
      <c r="QOE122" s="69"/>
      <c r="QOF122" s="69"/>
      <c r="QOG122" s="69"/>
      <c r="QOH122" s="69"/>
      <c r="QOI122" s="69"/>
      <c r="QOJ122" s="69"/>
      <c r="QOK122" s="69"/>
      <c r="QOL122" s="69"/>
      <c r="QOM122" s="69"/>
      <c r="QON122" s="69"/>
      <c r="QOO122" s="69"/>
      <c r="QOP122" s="69"/>
      <c r="QOQ122" s="69"/>
      <c r="QOR122" s="69"/>
      <c r="QOS122" s="69"/>
      <c r="QOT122" s="69"/>
      <c r="QOU122" s="69"/>
      <c r="QOV122" s="69"/>
      <c r="QOW122" s="69"/>
      <c r="QOX122" s="69"/>
      <c r="QOY122" s="69"/>
      <c r="QOZ122" s="69"/>
      <c r="QPA122" s="69"/>
      <c r="QPB122" s="69"/>
      <c r="QPC122" s="69"/>
      <c r="QPD122" s="69"/>
      <c r="QPE122" s="69"/>
      <c r="QPF122" s="69"/>
      <c r="QPG122" s="69"/>
      <c r="QPH122" s="69"/>
      <c r="QPI122" s="69"/>
      <c r="QPJ122" s="69"/>
      <c r="QPK122" s="69"/>
      <c r="QPL122" s="69"/>
      <c r="QPM122" s="69"/>
      <c r="QPN122" s="69"/>
      <c r="QPO122" s="69"/>
      <c r="QPP122" s="69"/>
      <c r="QPQ122" s="69"/>
      <c r="QPR122" s="69"/>
      <c r="QPS122" s="69"/>
      <c r="QPT122" s="69"/>
      <c r="QPU122" s="69"/>
      <c r="QPV122" s="69"/>
      <c r="QPW122" s="69"/>
      <c r="QPX122" s="69"/>
      <c r="QPY122" s="69"/>
      <c r="QPZ122" s="69"/>
      <c r="QQA122" s="69"/>
      <c r="QQB122" s="69"/>
      <c r="QQC122" s="69"/>
      <c r="QQD122" s="69"/>
      <c r="QQE122" s="69"/>
      <c r="QQF122" s="69"/>
      <c r="QQG122" s="69"/>
      <c r="QQH122" s="69"/>
      <c r="QQI122" s="69"/>
      <c r="QQJ122" s="69"/>
      <c r="QQK122" s="69"/>
      <c r="QQL122" s="69"/>
      <c r="QQM122" s="69"/>
      <c r="QQN122" s="69"/>
      <c r="QQO122" s="69"/>
      <c r="QQP122" s="69"/>
      <c r="QQQ122" s="69"/>
      <c r="QQR122" s="69"/>
      <c r="QQS122" s="69"/>
      <c r="QQT122" s="69"/>
      <c r="QQU122" s="69"/>
      <c r="QQV122" s="69"/>
      <c r="QQW122" s="69"/>
      <c r="QQX122" s="69"/>
      <c r="QQY122" s="69"/>
      <c r="QQZ122" s="69"/>
      <c r="QRA122" s="69"/>
      <c r="QRB122" s="69"/>
      <c r="QRC122" s="69"/>
      <c r="QRD122" s="69"/>
      <c r="QRE122" s="69"/>
      <c r="QRF122" s="69"/>
      <c r="QRG122" s="69"/>
      <c r="QRH122" s="69"/>
      <c r="QRI122" s="69"/>
      <c r="QRJ122" s="69"/>
      <c r="QRK122" s="69"/>
      <c r="QRL122" s="69"/>
      <c r="QRM122" s="69"/>
      <c r="QRN122" s="69"/>
      <c r="QRO122" s="69"/>
      <c r="QRP122" s="69"/>
      <c r="QRQ122" s="69"/>
      <c r="QRR122" s="69"/>
      <c r="QRS122" s="69"/>
      <c r="QRT122" s="69"/>
      <c r="QRU122" s="69"/>
      <c r="QRV122" s="69"/>
      <c r="QRW122" s="69"/>
      <c r="QRX122" s="69"/>
      <c r="QRY122" s="69"/>
      <c r="QRZ122" s="69"/>
      <c r="QSA122" s="69"/>
      <c r="QSB122" s="69"/>
      <c r="QSC122" s="69"/>
      <c r="QSD122" s="69"/>
      <c r="QSE122" s="69"/>
      <c r="QSF122" s="69"/>
      <c r="QSG122" s="69"/>
      <c r="QSH122" s="69"/>
      <c r="QSI122" s="69"/>
      <c r="QSJ122" s="69"/>
      <c r="QSK122" s="69"/>
      <c r="QSL122" s="69"/>
      <c r="QSM122" s="69"/>
      <c r="QSN122" s="69"/>
      <c r="QSO122" s="69"/>
      <c r="QSP122" s="69"/>
      <c r="QSQ122" s="69"/>
      <c r="QSR122" s="69"/>
      <c r="QSS122" s="69"/>
      <c r="QST122" s="69"/>
      <c r="QSU122" s="69"/>
      <c r="QSV122" s="69"/>
      <c r="QSW122" s="69"/>
      <c r="QSX122" s="69"/>
      <c r="QSY122" s="69"/>
      <c r="QSZ122" s="69"/>
      <c r="QTA122" s="69"/>
      <c r="QTB122" s="69"/>
      <c r="QTC122" s="69"/>
      <c r="QTD122" s="69"/>
      <c r="QTE122" s="69"/>
      <c r="QTF122" s="69"/>
      <c r="QTG122" s="69"/>
      <c r="QTH122" s="69"/>
      <c r="QTI122" s="69"/>
      <c r="QTJ122" s="69"/>
      <c r="QTK122" s="69"/>
      <c r="QTL122" s="69"/>
      <c r="QTM122" s="69"/>
      <c r="QTN122" s="69"/>
      <c r="QTO122" s="69"/>
      <c r="QTP122" s="69"/>
      <c r="QTQ122" s="69"/>
      <c r="QTR122" s="69"/>
      <c r="QTS122" s="69"/>
      <c r="QTT122" s="69"/>
      <c r="QTU122" s="69"/>
      <c r="QTV122" s="69"/>
      <c r="QTW122" s="69"/>
      <c r="QTX122" s="69"/>
      <c r="QTY122" s="69"/>
      <c r="QTZ122" s="69"/>
      <c r="QUA122" s="69"/>
      <c r="QUB122" s="69"/>
      <c r="QUC122" s="69"/>
      <c r="QUD122" s="69"/>
      <c r="QUE122" s="69"/>
      <c r="QUF122" s="69"/>
      <c r="QUG122" s="69"/>
      <c r="QUH122" s="69"/>
      <c r="QUI122" s="69"/>
      <c r="QUJ122" s="69"/>
      <c r="QUK122" s="69"/>
      <c r="QUL122" s="69"/>
      <c r="QUM122" s="69"/>
      <c r="QUN122" s="69"/>
      <c r="QUO122" s="69"/>
      <c r="QUP122" s="69"/>
      <c r="QUQ122" s="69"/>
      <c r="QUR122" s="69"/>
      <c r="QUS122" s="69"/>
      <c r="QUT122" s="69"/>
      <c r="QUU122" s="69"/>
      <c r="QUV122" s="69"/>
      <c r="QUW122" s="69"/>
      <c r="QUX122" s="69"/>
      <c r="QUY122" s="69"/>
      <c r="QUZ122" s="69"/>
      <c r="QVA122" s="69"/>
      <c r="QVB122" s="69"/>
      <c r="QVC122" s="69"/>
      <c r="QVD122" s="69"/>
      <c r="QVE122" s="69"/>
      <c r="QVF122" s="69"/>
      <c r="QVG122" s="69"/>
      <c r="QVH122" s="69"/>
      <c r="QVI122" s="69"/>
      <c r="QVJ122" s="69"/>
      <c r="QVK122" s="69"/>
      <c r="QVL122" s="69"/>
      <c r="QVM122" s="69"/>
      <c r="QVN122" s="69"/>
      <c r="QVO122" s="69"/>
      <c r="QVP122" s="69"/>
      <c r="QVQ122" s="69"/>
      <c r="QVR122" s="69"/>
      <c r="QVS122" s="69"/>
      <c r="QVT122" s="69"/>
      <c r="QVU122" s="69"/>
      <c r="QVV122" s="69"/>
      <c r="QVW122" s="69"/>
      <c r="QVX122" s="69"/>
      <c r="QVY122" s="69"/>
      <c r="QVZ122" s="69"/>
      <c r="QWA122" s="69"/>
      <c r="QWB122" s="69"/>
      <c r="QWC122" s="69"/>
      <c r="QWD122" s="69"/>
      <c r="QWE122" s="69"/>
      <c r="QWF122" s="69"/>
      <c r="QWG122" s="69"/>
      <c r="QWH122" s="69"/>
      <c r="QWI122" s="69"/>
      <c r="QWJ122" s="69"/>
      <c r="QWK122" s="69"/>
      <c r="QWL122" s="69"/>
      <c r="QWM122" s="69"/>
      <c r="QWN122" s="69"/>
      <c r="QWO122" s="69"/>
      <c r="QWP122" s="69"/>
      <c r="QWQ122" s="69"/>
      <c r="QWR122" s="69"/>
      <c r="QWS122" s="69"/>
      <c r="QWT122" s="69"/>
      <c r="QWU122" s="69"/>
      <c r="QWV122" s="69"/>
      <c r="QWW122" s="69"/>
      <c r="QWX122" s="69"/>
      <c r="QWY122" s="69"/>
      <c r="QWZ122" s="69"/>
      <c r="QXA122" s="69"/>
      <c r="QXB122" s="69"/>
      <c r="QXC122" s="69"/>
      <c r="QXD122" s="69"/>
      <c r="QXE122" s="69"/>
      <c r="QXF122" s="69"/>
      <c r="QXG122" s="69"/>
      <c r="QXH122" s="69"/>
      <c r="QXI122" s="69"/>
      <c r="QXJ122" s="69"/>
      <c r="QXK122" s="69"/>
      <c r="QXL122" s="69"/>
      <c r="QXM122" s="69"/>
      <c r="QXN122" s="69"/>
      <c r="QXO122" s="69"/>
      <c r="QXP122" s="69"/>
      <c r="QXQ122" s="69"/>
      <c r="QXR122" s="69"/>
      <c r="QXS122" s="69"/>
      <c r="QXT122" s="69"/>
      <c r="QXU122" s="69"/>
      <c r="QXV122" s="69"/>
      <c r="QXW122" s="69"/>
      <c r="QXX122" s="69"/>
      <c r="QXY122" s="69"/>
      <c r="QXZ122" s="69"/>
      <c r="QYA122" s="69"/>
      <c r="QYB122" s="69"/>
      <c r="QYC122" s="69"/>
      <c r="QYD122" s="69"/>
      <c r="QYE122" s="69"/>
      <c r="QYF122" s="69"/>
      <c r="QYG122" s="69"/>
      <c r="QYH122" s="69"/>
      <c r="QYI122" s="69"/>
      <c r="QYJ122" s="69"/>
      <c r="QYK122" s="69"/>
      <c r="QYL122" s="69"/>
      <c r="QYM122" s="69"/>
      <c r="QYN122" s="69"/>
      <c r="QYO122" s="69"/>
      <c r="QYP122" s="69"/>
      <c r="QYQ122" s="69"/>
      <c r="QYR122" s="69"/>
      <c r="QYS122" s="69"/>
      <c r="QYT122" s="69"/>
      <c r="QYU122" s="69"/>
      <c r="QYV122" s="69"/>
      <c r="QYW122" s="69"/>
      <c r="QYX122" s="69"/>
      <c r="QYY122" s="69"/>
      <c r="QYZ122" s="69"/>
      <c r="QZA122" s="69"/>
      <c r="QZB122" s="69"/>
      <c r="QZC122" s="69"/>
      <c r="QZD122" s="69"/>
      <c r="QZE122" s="69"/>
      <c r="QZF122" s="69"/>
      <c r="QZG122" s="69"/>
      <c r="QZH122" s="69"/>
      <c r="QZI122" s="69"/>
      <c r="QZJ122" s="69"/>
      <c r="QZK122" s="69"/>
      <c r="QZL122" s="69"/>
      <c r="QZM122" s="69"/>
      <c r="QZN122" s="69"/>
      <c r="QZO122" s="69"/>
      <c r="QZP122" s="69"/>
      <c r="QZQ122" s="69"/>
      <c r="QZR122" s="69"/>
      <c r="QZS122" s="69"/>
      <c r="QZT122" s="69"/>
      <c r="QZU122" s="69"/>
      <c r="QZV122" s="69"/>
      <c r="QZW122" s="69"/>
      <c r="QZX122" s="69"/>
      <c r="QZY122" s="69"/>
      <c r="QZZ122" s="69"/>
      <c r="RAA122" s="69"/>
      <c r="RAB122" s="69"/>
      <c r="RAC122" s="69"/>
      <c r="RAD122" s="69"/>
      <c r="RAE122" s="69"/>
      <c r="RAF122" s="69"/>
      <c r="RAG122" s="69"/>
      <c r="RAH122" s="69"/>
      <c r="RAI122" s="69"/>
      <c r="RAJ122" s="69"/>
      <c r="RAK122" s="69"/>
      <c r="RAL122" s="69"/>
      <c r="RAM122" s="69"/>
      <c r="RAN122" s="69"/>
      <c r="RAO122" s="69"/>
      <c r="RAP122" s="69"/>
      <c r="RAQ122" s="69"/>
      <c r="RAR122" s="69"/>
      <c r="RAS122" s="69"/>
      <c r="RAT122" s="69"/>
      <c r="RAU122" s="69"/>
      <c r="RAV122" s="69"/>
      <c r="RAW122" s="69"/>
      <c r="RAX122" s="69"/>
      <c r="RAY122" s="69"/>
      <c r="RAZ122" s="69"/>
      <c r="RBA122" s="69"/>
      <c r="RBB122" s="69"/>
      <c r="RBC122" s="69"/>
      <c r="RBD122" s="69"/>
      <c r="RBE122" s="69"/>
      <c r="RBF122" s="69"/>
      <c r="RBG122" s="69"/>
      <c r="RBH122" s="69"/>
      <c r="RBI122" s="69"/>
      <c r="RBJ122" s="69"/>
      <c r="RBK122" s="69"/>
      <c r="RBL122" s="69"/>
      <c r="RBM122" s="69"/>
      <c r="RBN122" s="69"/>
      <c r="RBO122" s="69"/>
      <c r="RBP122" s="69"/>
      <c r="RBQ122" s="69"/>
      <c r="RBR122" s="69"/>
      <c r="RBS122" s="69"/>
      <c r="RBT122" s="69"/>
      <c r="RBU122" s="69"/>
      <c r="RBV122" s="69"/>
      <c r="RBW122" s="69"/>
      <c r="RBX122" s="69"/>
      <c r="RBY122" s="69"/>
      <c r="RBZ122" s="69"/>
      <c r="RCA122" s="69"/>
      <c r="RCB122" s="69"/>
      <c r="RCC122" s="69"/>
      <c r="RCD122" s="69"/>
      <c r="RCE122" s="69"/>
      <c r="RCF122" s="69"/>
      <c r="RCG122" s="69"/>
      <c r="RCH122" s="69"/>
      <c r="RCI122" s="69"/>
      <c r="RCJ122" s="69"/>
      <c r="RCK122" s="69"/>
      <c r="RCL122" s="69"/>
      <c r="RCM122" s="69"/>
      <c r="RCN122" s="69"/>
      <c r="RCO122" s="69"/>
      <c r="RCP122" s="69"/>
      <c r="RCQ122" s="69"/>
      <c r="RCR122" s="69"/>
      <c r="RCS122" s="69"/>
      <c r="RCT122" s="69"/>
      <c r="RCU122" s="69"/>
      <c r="RCV122" s="69"/>
      <c r="RCW122" s="69"/>
      <c r="RCX122" s="69"/>
      <c r="RCY122" s="69"/>
      <c r="RCZ122" s="69"/>
      <c r="RDA122" s="69"/>
      <c r="RDB122" s="69"/>
      <c r="RDC122" s="69"/>
      <c r="RDD122" s="69"/>
      <c r="RDE122" s="69"/>
      <c r="RDF122" s="69"/>
      <c r="RDG122" s="69"/>
      <c r="RDH122" s="69"/>
      <c r="RDI122" s="69"/>
      <c r="RDJ122" s="69"/>
      <c r="RDK122" s="69"/>
      <c r="RDL122" s="69"/>
      <c r="RDM122" s="69"/>
      <c r="RDN122" s="69"/>
      <c r="RDO122" s="69"/>
      <c r="RDP122" s="69"/>
      <c r="RDQ122" s="69"/>
      <c r="RDR122" s="69"/>
      <c r="RDS122" s="69"/>
      <c r="RDT122" s="69"/>
      <c r="RDU122" s="69"/>
      <c r="RDV122" s="69"/>
      <c r="RDW122" s="69"/>
      <c r="RDX122" s="69"/>
      <c r="RDY122" s="69"/>
      <c r="RDZ122" s="69"/>
      <c r="REA122" s="69"/>
      <c r="REB122" s="69"/>
      <c r="REC122" s="69"/>
      <c r="RED122" s="69"/>
      <c r="REE122" s="69"/>
      <c r="REF122" s="69"/>
      <c r="REG122" s="69"/>
      <c r="REH122" s="69"/>
      <c r="REI122" s="69"/>
      <c r="REJ122" s="69"/>
      <c r="REK122" s="69"/>
      <c r="REL122" s="69"/>
      <c r="REM122" s="69"/>
      <c r="REN122" s="69"/>
      <c r="REO122" s="69"/>
      <c r="REP122" s="69"/>
      <c r="REQ122" s="69"/>
      <c r="RER122" s="69"/>
      <c r="RES122" s="69"/>
      <c r="RET122" s="69"/>
      <c r="REU122" s="69"/>
      <c r="REV122" s="69"/>
      <c r="REW122" s="69"/>
      <c r="REX122" s="69"/>
      <c r="REY122" s="69"/>
      <c r="REZ122" s="69"/>
      <c r="RFA122" s="69"/>
      <c r="RFB122" s="69"/>
      <c r="RFC122" s="69"/>
      <c r="RFD122" s="69"/>
      <c r="RFE122" s="69"/>
      <c r="RFF122" s="69"/>
      <c r="RFG122" s="69"/>
      <c r="RFH122" s="69"/>
      <c r="RFI122" s="69"/>
      <c r="RFJ122" s="69"/>
      <c r="RFK122" s="69"/>
      <c r="RFL122" s="69"/>
      <c r="RFM122" s="69"/>
      <c r="RFN122" s="69"/>
      <c r="RFO122" s="69"/>
      <c r="RFP122" s="69"/>
      <c r="RFQ122" s="69"/>
      <c r="RFR122" s="69"/>
      <c r="RFS122" s="69"/>
      <c r="RFT122" s="69"/>
      <c r="RFU122" s="69"/>
      <c r="RFV122" s="69"/>
      <c r="RFW122" s="69"/>
      <c r="RFX122" s="69"/>
      <c r="RFY122" s="69"/>
      <c r="RFZ122" s="69"/>
      <c r="RGA122" s="69"/>
      <c r="RGB122" s="69"/>
      <c r="RGC122" s="69"/>
      <c r="RGD122" s="69"/>
      <c r="RGE122" s="69"/>
      <c r="RGF122" s="69"/>
      <c r="RGG122" s="69"/>
      <c r="RGH122" s="69"/>
      <c r="RGI122" s="69"/>
      <c r="RGJ122" s="69"/>
      <c r="RGK122" s="69"/>
      <c r="RGL122" s="69"/>
      <c r="RGM122" s="69"/>
      <c r="RGN122" s="69"/>
      <c r="RGO122" s="69"/>
      <c r="RGP122" s="69"/>
      <c r="RGQ122" s="69"/>
      <c r="RGR122" s="69"/>
      <c r="RGS122" s="69"/>
      <c r="RGT122" s="69"/>
      <c r="RGU122" s="69"/>
      <c r="RGV122" s="69"/>
      <c r="RGW122" s="69"/>
      <c r="RGX122" s="69"/>
      <c r="RGY122" s="69"/>
      <c r="RGZ122" s="69"/>
      <c r="RHA122" s="69"/>
      <c r="RHB122" s="69"/>
      <c r="RHC122" s="69"/>
      <c r="RHD122" s="69"/>
      <c r="RHE122" s="69"/>
      <c r="RHF122" s="69"/>
      <c r="RHG122" s="69"/>
      <c r="RHH122" s="69"/>
      <c r="RHI122" s="69"/>
      <c r="RHJ122" s="69"/>
      <c r="RHK122" s="69"/>
      <c r="RHL122" s="69"/>
      <c r="RHM122" s="69"/>
      <c r="RHN122" s="69"/>
      <c r="RHO122" s="69"/>
      <c r="RHP122" s="69"/>
      <c r="RHQ122" s="69"/>
      <c r="RHR122" s="69"/>
      <c r="RHS122" s="69"/>
      <c r="RHT122" s="69"/>
      <c r="RHU122" s="69"/>
      <c r="RHV122" s="69"/>
      <c r="RHW122" s="69"/>
      <c r="RHX122" s="69"/>
      <c r="RHY122" s="69"/>
      <c r="RHZ122" s="69"/>
      <c r="RIA122" s="69"/>
      <c r="RIB122" s="69"/>
      <c r="RIC122" s="69"/>
      <c r="RID122" s="69"/>
      <c r="RIE122" s="69"/>
      <c r="RIF122" s="69"/>
      <c r="RIG122" s="69"/>
      <c r="RIH122" s="69"/>
      <c r="RII122" s="69"/>
      <c r="RIJ122" s="69"/>
      <c r="RIK122" s="69"/>
      <c r="RIL122" s="69"/>
      <c r="RIM122" s="69"/>
      <c r="RIN122" s="69"/>
      <c r="RIO122" s="69"/>
      <c r="RIP122" s="69"/>
      <c r="RIQ122" s="69"/>
      <c r="RIR122" s="69"/>
      <c r="RIS122" s="69"/>
      <c r="RIT122" s="69"/>
      <c r="RIU122" s="69"/>
      <c r="RIV122" s="69"/>
      <c r="RIW122" s="69"/>
      <c r="RIX122" s="69"/>
      <c r="RIY122" s="69"/>
      <c r="RIZ122" s="69"/>
      <c r="RJA122" s="69"/>
      <c r="RJB122" s="69"/>
      <c r="RJC122" s="69"/>
      <c r="RJD122" s="69"/>
      <c r="RJE122" s="69"/>
      <c r="RJF122" s="69"/>
      <c r="RJG122" s="69"/>
      <c r="RJH122" s="69"/>
      <c r="RJI122" s="69"/>
      <c r="RJJ122" s="69"/>
      <c r="RJK122" s="69"/>
      <c r="RJL122" s="69"/>
      <c r="RJM122" s="69"/>
      <c r="RJN122" s="69"/>
      <c r="RJO122" s="69"/>
      <c r="RJP122" s="69"/>
      <c r="RJQ122" s="69"/>
      <c r="RJR122" s="69"/>
      <c r="RJS122" s="69"/>
      <c r="RJT122" s="69"/>
      <c r="RJU122" s="69"/>
      <c r="RJV122" s="69"/>
      <c r="RJW122" s="69"/>
      <c r="RJX122" s="69"/>
      <c r="RJY122" s="69"/>
      <c r="RJZ122" s="69"/>
      <c r="RKA122" s="69"/>
      <c r="RKB122" s="69"/>
      <c r="RKC122" s="69"/>
      <c r="RKD122" s="69"/>
      <c r="RKE122" s="69"/>
      <c r="RKF122" s="69"/>
      <c r="RKG122" s="69"/>
      <c r="RKH122" s="69"/>
      <c r="RKI122" s="69"/>
      <c r="RKJ122" s="69"/>
      <c r="RKK122" s="69"/>
      <c r="RKL122" s="69"/>
      <c r="RKM122" s="69"/>
      <c r="RKN122" s="69"/>
      <c r="RKO122" s="69"/>
      <c r="RKP122" s="69"/>
      <c r="RKQ122" s="69"/>
      <c r="RKR122" s="69"/>
      <c r="RKS122" s="69"/>
      <c r="RKT122" s="69"/>
      <c r="RKU122" s="69"/>
      <c r="RKV122" s="69"/>
      <c r="RKW122" s="69"/>
      <c r="RKX122" s="69"/>
      <c r="RKY122" s="69"/>
      <c r="RKZ122" s="69"/>
      <c r="RLA122" s="69"/>
      <c r="RLB122" s="69"/>
      <c r="RLC122" s="69"/>
      <c r="RLD122" s="69"/>
      <c r="RLE122" s="69"/>
      <c r="RLF122" s="69"/>
      <c r="RLG122" s="69"/>
      <c r="RLH122" s="69"/>
      <c r="RLI122" s="69"/>
      <c r="RLJ122" s="69"/>
      <c r="RLK122" s="69"/>
      <c r="RLL122" s="69"/>
      <c r="RLM122" s="69"/>
      <c r="RLN122" s="69"/>
      <c r="RLO122" s="69"/>
      <c r="RLP122" s="69"/>
      <c r="RLQ122" s="69"/>
      <c r="RLR122" s="69"/>
      <c r="RLS122" s="69"/>
      <c r="RLT122" s="69"/>
      <c r="RLU122" s="69"/>
      <c r="RLV122" s="69"/>
      <c r="RLW122" s="69"/>
      <c r="RLX122" s="69"/>
      <c r="RLY122" s="69"/>
      <c r="RLZ122" s="69"/>
      <c r="RMA122" s="69"/>
      <c r="RMB122" s="69"/>
      <c r="RMC122" s="69"/>
      <c r="RMD122" s="69"/>
      <c r="RME122" s="69"/>
      <c r="RMF122" s="69"/>
      <c r="RMG122" s="69"/>
      <c r="RMH122" s="69"/>
      <c r="RMI122" s="69"/>
      <c r="RMJ122" s="69"/>
      <c r="RMK122" s="69"/>
      <c r="RML122" s="69"/>
      <c r="RMM122" s="69"/>
      <c r="RMN122" s="69"/>
      <c r="RMO122" s="69"/>
      <c r="RMP122" s="69"/>
      <c r="RMQ122" s="69"/>
      <c r="RMR122" s="69"/>
      <c r="RMS122" s="69"/>
      <c r="RMT122" s="69"/>
      <c r="RMU122" s="69"/>
      <c r="RMV122" s="69"/>
      <c r="RMW122" s="69"/>
      <c r="RMX122" s="69"/>
      <c r="RMY122" s="69"/>
      <c r="RMZ122" s="69"/>
      <c r="RNA122" s="69"/>
      <c r="RNB122" s="69"/>
      <c r="RNC122" s="69"/>
      <c r="RND122" s="69"/>
      <c r="RNE122" s="69"/>
      <c r="RNF122" s="69"/>
      <c r="RNG122" s="69"/>
      <c r="RNH122" s="69"/>
      <c r="RNI122" s="69"/>
      <c r="RNJ122" s="69"/>
      <c r="RNK122" s="69"/>
      <c r="RNL122" s="69"/>
      <c r="RNM122" s="69"/>
      <c r="RNN122" s="69"/>
      <c r="RNO122" s="69"/>
      <c r="RNP122" s="69"/>
      <c r="RNQ122" s="69"/>
      <c r="RNR122" s="69"/>
      <c r="RNS122" s="69"/>
      <c r="RNT122" s="69"/>
      <c r="RNU122" s="69"/>
      <c r="RNV122" s="69"/>
      <c r="RNW122" s="69"/>
      <c r="RNX122" s="69"/>
      <c r="RNY122" s="69"/>
      <c r="RNZ122" s="69"/>
      <c r="ROA122" s="69"/>
      <c r="ROB122" s="69"/>
      <c r="ROC122" s="69"/>
      <c r="ROD122" s="69"/>
      <c r="ROE122" s="69"/>
      <c r="ROF122" s="69"/>
      <c r="ROG122" s="69"/>
      <c r="ROH122" s="69"/>
      <c r="ROI122" s="69"/>
      <c r="ROJ122" s="69"/>
      <c r="ROK122" s="69"/>
      <c r="ROL122" s="69"/>
      <c r="ROM122" s="69"/>
      <c r="RON122" s="69"/>
      <c r="ROO122" s="69"/>
      <c r="ROP122" s="69"/>
      <c r="ROQ122" s="69"/>
      <c r="ROR122" s="69"/>
      <c r="ROS122" s="69"/>
      <c r="ROT122" s="69"/>
      <c r="ROU122" s="69"/>
      <c r="ROV122" s="69"/>
      <c r="ROW122" s="69"/>
      <c r="ROX122" s="69"/>
      <c r="ROY122" s="69"/>
      <c r="ROZ122" s="69"/>
      <c r="RPA122" s="69"/>
      <c r="RPB122" s="69"/>
      <c r="RPC122" s="69"/>
      <c r="RPD122" s="69"/>
      <c r="RPE122" s="69"/>
      <c r="RPF122" s="69"/>
      <c r="RPG122" s="69"/>
      <c r="RPH122" s="69"/>
      <c r="RPI122" s="69"/>
      <c r="RPJ122" s="69"/>
      <c r="RPK122" s="69"/>
      <c r="RPL122" s="69"/>
      <c r="RPM122" s="69"/>
      <c r="RPN122" s="69"/>
      <c r="RPO122" s="69"/>
      <c r="RPP122" s="69"/>
      <c r="RPQ122" s="69"/>
      <c r="RPR122" s="69"/>
      <c r="RPS122" s="69"/>
      <c r="RPT122" s="69"/>
      <c r="RPU122" s="69"/>
      <c r="RPV122" s="69"/>
      <c r="RPW122" s="69"/>
      <c r="RPX122" s="69"/>
      <c r="RPY122" s="69"/>
      <c r="RPZ122" s="69"/>
      <c r="RQA122" s="69"/>
      <c r="RQB122" s="69"/>
      <c r="RQC122" s="69"/>
      <c r="RQD122" s="69"/>
      <c r="RQE122" s="69"/>
      <c r="RQF122" s="69"/>
      <c r="RQG122" s="69"/>
      <c r="RQH122" s="69"/>
      <c r="RQI122" s="69"/>
      <c r="RQJ122" s="69"/>
      <c r="RQK122" s="69"/>
      <c r="RQL122" s="69"/>
      <c r="RQM122" s="69"/>
      <c r="RQN122" s="69"/>
      <c r="RQO122" s="69"/>
      <c r="RQP122" s="69"/>
      <c r="RQQ122" s="69"/>
      <c r="RQR122" s="69"/>
      <c r="RQS122" s="69"/>
      <c r="RQT122" s="69"/>
      <c r="RQU122" s="69"/>
      <c r="RQV122" s="69"/>
      <c r="RQW122" s="69"/>
      <c r="RQX122" s="69"/>
      <c r="RQY122" s="69"/>
      <c r="RQZ122" s="69"/>
      <c r="RRA122" s="69"/>
      <c r="RRB122" s="69"/>
      <c r="RRC122" s="69"/>
      <c r="RRD122" s="69"/>
      <c r="RRE122" s="69"/>
      <c r="RRF122" s="69"/>
      <c r="RRG122" s="69"/>
      <c r="RRH122" s="69"/>
      <c r="RRI122" s="69"/>
      <c r="RRJ122" s="69"/>
      <c r="RRK122" s="69"/>
      <c r="RRL122" s="69"/>
      <c r="RRM122" s="69"/>
      <c r="RRN122" s="69"/>
      <c r="RRO122" s="69"/>
      <c r="RRP122" s="69"/>
      <c r="RRQ122" s="69"/>
      <c r="RRR122" s="69"/>
      <c r="RRS122" s="69"/>
      <c r="RRT122" s="69"/>
      <c r="RRU122" s="69"/>
      <c r="RRV122" s="69"/>
      <c r="RRW122" s="69"/>
      <c r="RRX122" s="69"/>
      <c r="RRY122" s="69"/>
      <c r="RRZ122" s="69"/>
      <c r="RSA122" s="69"/>
      <c r="RSB122" s="69"/>
      <c r="RSC122" s="69"/>
      <c r="RSD122" s="69"/>
      <c r="RSE122" s="69"/>
      <c r="RSF122" s="69"/>
      <c r="RSG122" s="69"/>
      <c r="RSH122" s="69"/>
      <c r="RSI122" s="69"/>
      <c r="RSJ122" s="69"/>
      <c r="RSK122" s="69"/>
      <c r="RSL122" s="69"/>
      <c r="RSM122" s="69"/>
      <c r="RSN122" s="69"/>
      <c r="RSO122" s="69"/>
      <c r="RSP122" s="69"/>
      <c r="RSQ122" s="69"/>
      <c r="RSR122" s="69"/>
      <c r="RSS122" s="69"/>
      <c r="RST122" s="69"/>
      <c r="RSU122" s="69"/>
      <c r="RSV122" s="69"/>
      <c r="RSW122" s="69"/>
      <c r="RSX122" s="69"/>
      <c r="RSY122" s="69"/>
      <c r="RSZ122" s="69"/>
      <c r="RTA122" s="69"/>
      <c r="RTB122" s="69"/>
      <c r="RTC122" s="69"/>
      <c r="RTD122" s="69"/>
      <c r="RTE122" s="69"/>
      <c r="RTF122" s="69"/>
      <c r="RTG122" s="69"/>
      <c r="RTH122" s="69"/>
      <c r="RTI122" s="69"/>
      <c r="RTJ122" s="69"/>
      <c r="RTK122" s="69"/>
      <c r="RTL122" s="69"/>
      <c r="RTM122" s="69"/>
      <c r="RTN122" s="69"/>
      <c r="RTO122" s="69"/>
      <c r="RTP122" s="69"/>
      <c r="RTQ122" s="69"/>
      <c r="RTR122" s="69"/>
      <c r="RTS122" s="69"/>
      <c r="RTT122" s="69"/>
      <c r="RTU122" s="69"/>
      <c r="RTV122" s="69"/>
      <c r="RTW122" s="69"/>
      <c r="RTX122" s="69"/>
      <c r="RTY122" s="69"/>
      <c r="RTZ122" s="69"/>
      <c r="RUA122" s="69"/>
      <c r="RUB122" s="69"/>
      <c r="RUC122" s="69"/>
      <c r="RUD122" s="69"/>
      <c r="RUE122" s="69"/>
      <c r="RUF122" s="69"/>
      <c r="RUG122" s="69"/>
      <c r="RUH122" s="69"/>
      <c r="RUI122" s="69"/>
      <c r="RUJ122" s="69"/>
      <c r="RUK122" s="69"/>
      <c r="RUL122" s="69"/>
      <c r="RUM122" s="69"/>
      <c r="RUN122" s="69"/>
      <c r="RUO122" s="69"/>
      <c r="RUP122" s="69"/>
      <c r="RUQ122" s="69"/>
      <c r="RUR122" s="69"/>
      <c r="RUS122" s="69"/>
      <c r="RUT122" s="69"/>
      <c r="RUU122" s="69"/>
      <c r="RUV122" s="69"/>
      <c r="RUW122" s="69"/>
      <c r="RUX122" s="69"/>
      <c r="RUY122" s="69"/>
      <c r="RUZ122" s="69"/>
      <c r="RVA122" s="69"/>
      <c r="RVB122" s="69"/>
      <c r="RVC122" s="69"/>
      <c r="RVD122" s="69"/>
      <c r="RVE122" s="69"/>
      <c r="RVF122" s="69"/>
      <c r="RVG122" s="69"/>
      <c r="RVH122" s="69"/>
      <c r="RVI122" s="69"/>
      <c r="RVJ122" s="69"/>
      <c r="RVK122" s="69"/>
      <c r="RVL122" s="69"/>
      <c r="RVM122" s="69"/>
      <c r="RVN122" s="69"/>
      <c r="RVO122" s="69"/>
      <c r="RVP122" s="69"/>
      <c r="RVQ122" s="69"/>
      <c r="RVR122" s="69"/>
      <c r="RVS122" s="69"/>
      <c r="RVT122" s="69"/>
      <c r="RVU122" s="69"/>
      <c r="RVV122" s="69"/>
      <c r="RVW122" s="69"/>
      <c r="RVX122" s="69"/>
      <c r="RVY122" s="69"/>
      <c r="RVZ122" s="69"/>
      <c r="RWA122" s="69"/>
      <c r="RWB122" s="69"/>
      <c r="RWC122" s="69"/>
      <c r="RWD122" s="69"/>
      <c r="RWE122" s="69"/>
      <c r="RWF122" s="69"/>
      <c r="RWG122" s="69"/>
      <c r="RWH122" s="69"/>
      <c r="RWI122" s="69"/>
      <c r="RWJ122" s="69"/>
      <c r="RWK122" s="69"/>
      <c r="RWL122" s="69"/>
      <c r="RWM122" s="69"/>
      <c r="RWN122" s="69"/>
      <c r="RWO122" s="69"/>
      <c r="RWP122" s="69"/>
      <c r="RWQ122" s="69"/>
      <c r="RWR122" s="69"/>
      <c r="RWS122" s="69"/>
      <c r="RWT122" s="69"/>
      <c r="RWU122" s="69"/>
      <c r="RWV122" s="69"/>
      <c r="RWW122" s="69"/>
      <c r="RWX122" s="69"/>
      <c r="RWY122" s="69"/>
      <c r="RWZ122" s="69"/>
      <c r="RXA122" s="69"/>
      <c r="RXB122" s="69"/>
      <c r="RXC122" s="69"/>
      <c r="RXD122" s="69"/>
      <c r="RXE122" s="69"/>
      <c r="RXF122" s="69"/>
      <c r="RXG122" s="69"/>
      <c r="RXH122" s="69"/>
      <c r="RXI122" s="69"/>
      <c r="RXJ122" s="69"/>
      <c r="RXK122" s="69"/>
      <c r="RXL122" s="69"/>
      <c r="RXM122" s="69"/>
      <c r="RXN122" s="69"/>
      <c r="RXO122" s="69"/>
      <c r="RXP122" s="69"/>
      <c r="RXQ122" s="69"/>
      <c r="RXR122" s="69"/>
      <c r="RXS122" s="69"/>
      <c r="RXT122" s="69"/>
      <c r="RXU122" s="69"/>
      <c r="RXV122" s="69"/>
      <c r="RXW122" s="69"/>
      <c r="RXX122" s="69"/>
      <c r="RXY122" s="69"/>
      <c r="RXZ122" s="69"/>
      <c r="RYA122" s="69"/>
      <c r="RYB122" s="69"/>
      <c r="RYC122" s="69"/>
      <c r="RYD122" s="69"/>
      <c r="RYE122" s="69"/>
      <c r="RYF122" s="69"/>
      <c r="RYG122" s="69"/>
      <c r="RYH122" s="69"/>
      <c r="RYI122" s="69"/>
      <c r="RYJ122" s="69"/>
      <c r="RYK122" s="69"/>
      <c r="RYL122" s="69"/>
      <c r="RYM122" s="69"/>
      <c r="RYN122" s="69"/>
      <c r="RYO122" s="69"/>
      <c r="RYP122" s="69"/>
      <c r="RYQ122" s="69"/>
      <c r="RYR122" s="69"/>
      <c r="RYS122" s="69"/>
      <c r="RYT122" s="69"/>
      <c r="RYU122" s="69"/>
      <c r="RYV122" s="69"/>
      <c r="RYW122" s="69"/>
      <c r="RYX122" s="69"/>
      <c r="RYY122" s="69"/>
      <c r="RYZ122" s="69"/>
      <c r="RZA122" s="69"/>
      <c r="RZB122" s="69"/>
      <c r="RZC122" s="69"/>
      <c r="RZD122" s="69"/>
      <c r="RZE122" s="69"/>
      <c r="RZF122" s="69"/>
      <c r="RZG122" s="69"/>
      <c r="RZH122" s="69"/>
      <c r="RZI122" s="69"/>
      <c r="RZJ122" s="69"/>
      <c r="RZK122" s="69"/>
      <c r="RZL122" s="69"/>
      <c r="RZM122" s="69"/>
      <c r="RZN122" s="69"/>
      <c r="RZO122" s="69"/>
      <c r="RZP122" s="69"/>
      <c r="RZQ122" s="69"/>
      <c r="RZR122" s="69"/>
      <c r="RZS122" s="69"/>
      <c r="RZT122" s="69"/>
      <c r="RZU122" s="69"/>
      <c r="RZV122" s="69"/>
      <c r="RZW122" s="69"/>
      <c r="RZX122" s="69"/>
      <c r="RZY122" s="69"/>
      <c r="RZZ122" s="69"/>
      <c r="SAA122" s="69"/>
      <c r="SAB122" s="69"/>
      <c r="SAC122" s="69"/>
      <c r="SAD122" s="69"/>
      <c r="SAE122" s="69"/>
      <c r="SAF122" s="69"/>
      <c r="SAG122" s="69"/>
      <c r="SAH122" s="69"/>
      <c r="SAI122" s="69"/>
      <c r="SAJ122" s="69"/>
      <c r="SAK122" s="69"/>
      <c r="SAL122" s="69"/>
      <c r="SAM122" s="69"/>
      <c r="SAN122" s="69"/>
      <c r="SAO122" s="69"/>
      <c r="SAP122" s="69"/>
      <c r="SAQ122" s="69"/>
      <c r="SAR122" s="69"/>
      <c r="SAS122" s="69"/>
      <c r="SAT122" s="69"/>
      <c r="SAU122" s="69"/>
      <c r="SAV122" s="69"/>
      <c r="SAW122" s="69"/>
      <c r="SAX122" s="69"/>
      <c r="SAY122" s="69"/>
      <c r="SAZ122" s="69"/>
      <c r="SBA122" s="69"/>
      <c r="SBB122" s="69"/>
      <c r="SBC122" s="69"/>
      <c r="SBD122" s="69"/>
      <c r="SBE122" s="69"/>
      <c r="SBF122" s="69"/>
      <c r="SBG122" s="69"/>
      <c r="SBH122" s="69"/>
      <c r="SBI122" s="69"/>
      <c r="SBJ122" s="69"/>
      <c r="SBK122" s="69"/>
      <c r="SBL122" s="69"/>
      <c r="SBM122" s="69"/>
      <c r="SBN122" s="69"/>
      <c r="SBO122" s="69"/>
      <c r="SBP122" s="69"/>
      <c r="SBQ122" s="69"/>
      <c r="SBR122" s="69"/>
      <c r="SBS122" s="69"/>
      <c r="SBT122" s="69"/>
      <c r="SBU122" s="69"/>
      <c r="SBV122" s="69"/>
      <c r="SBW122" s="69"/>
      <c r="SBX122" s="69"/>
      <c r="SBY122" s="69"/>
      <c r="SBZ122" s="69"/>
      <c r="SCA122" s="69"/>
      <c r="SCB122" s="69"/>
      <c r="SCC122" s="69"/>
      <c r="SCD122" s="69"/>
      <c r="SCE122" s="69"/>
      <c r="SCF122" s="69"/>
      <c r="SCG122" s="69"/>
      <c r="SCH122" s="69"/>
      <c r="SCI122" s="69"/>
      <c r="SCJ122" s="69"/>
      <c r="SCK122" s="69"/>
      <c r="SCL122" s="69"/>
      <c r="SCM122" s="69"/>
      <c r="SCN122" s="69"/>
      <c r="SCO122" s="69"/>
      <c r="SCP122" s="69"/>
      <c r="SCQ122" s="69"/>
      <c r="SCR122" s="69"/>
      <c r="SCS122" s="69"/>
      <c r="SCT122" s="69"/>
      <c r="SCU122" s="69"/>
      <c r="SCV122" s="69"/>
      <c r="SCW122" s="69"/>
      <c r="SCX122" s="69"/>
      <c r="SCY122" s="69"/>
      <c r="SCZ122" s="69"/>
      <c r="SDA122" s="69"/>
      <c r="SDB122" s="69"/>
      <c r="SDC122" s="69"/>
      <c r="SDD122" s="69"/>
      <c r="SDE122" s="69"/>
      <c r="SDF122" s="69"/>
      <c r="SDG122" s="69"/>
      <c r="SDH122" s="69"/>
      <c r="SDI122" s="69"/>
      <c r="SDJ122" s="69"/>
      <c r="SDK122" s="69"/>
      <c r="SDL122" s="69"/>
      <c r="SDM122" s="69"/>
      <c r="SDN122" s="69"/>
      <c r="SDO122" s="69"/>
      <c r="SDP122" s="69"/>
      <c r="SDQ122" s="69"/>
      <c r="SDR122" s="69"/>
      <c r="SDS122" s="69"/>
      <c r="SDT122" s="69"/>
      <c r="SDU122" s="69"/>
      <c r="SDV122" s="69"/>
      <c r="SDW122" s="69"/>
      <c r="SDX122" s="69"/>
      <c r="SDY122" s="69"/>
      <c r="SDZ122" s="69"/>
      <c r="SEA122" s="69"/>
      <c r="SEB122" s="69"/>
      <c r="SEC122" s="69"/>
      <c r="SED122" s="69"/>
      <c r="SEE122" s="69"/>
      <c r="SEF122" s="69"/>
      <c r="SEG122" s="69"/>
      <c r="SEH122" s="69"/>
      <c r="SEI122" s="69"/>
      <c r="SEJ122" s="69"/>
      <c r="SEK122" s="69"/>
      <c r="SEL122" s="69"/>
      <c r="SEM122" s="69"/>
      <c r="SEN122" s="69"/>
      <c r="SEO122" s="69"/>
      <c r="SEP122" s="69"/>
      <c r="SEQ122" s="69"/>
      <c r="SER122" s="69"/>
      <c r="SES122" s="69"/>
      <c r="SET122" s="69"/>
      <c r="SEU122" s="69"/>
      <c r="SEV122" s="69"/>
      <c r="SEW122" s="69"/>
      <c r="SEX122" s="69"/>
      <c r="SEY122" s="69"/>
      <c r="SEZ122" s="69"/>
      <c r="SFA122" s="69"/>
      <c r="SFB122" s="69"/>
      <c r="SFC122" s="69"/>
      <c r="SFD122" s="69"/>
      <c r="SFE122" s="69"/>
      <c r="SFF122" s="69"/>
      <c r="SFG122" s="69"/>
      <c r="SFH122" s="69"/>
      <c r="SFI122" s="69"/>
      <c r="SFJ122" s="69"/>
      <c r="SFK122" s="69"/>
      <c r="SFL122" s="69"/>
      <c r="SFM122" s="69"/>
      <c r="SFN122" s="69"/>
      <c r="SFO122" s="69"/>
      <c r="SFP122" s="69"/>
      <c r="SFQ122" s="69"/>
      <c r="SFR122" s="69"/>
      <c r="SFS122" s="69"/>
      <c r="SFT122" s="69"/>
      <c r="SFU122" s="69"/>
      <c r="SFV122" s="69"/>
      <c r="SFW122" s="69"/>
      <c r="SFX122" s="69"/>
      <c r="SFY122" s="69"/>
      <c r="SFZ122" s="69"/>
      <c r="SGA122" s="69"/>
      <c r="SGB122" s="69"/>
      <c r="SGC122" s="69"/>
      <c r="SGD122" s="69"/>
      <c r="SGE122" s="69"/>
      <c r="SGF122" s="69"/>
      <c r="SGG122" s="69"/>
      <c r="SGH122" s="69"/>
      <c r="SGI122" s="69"/>
      <c r="SGJ122" s="69"/>
      <c r="SGK122" s="69"/>
      <c r="SGL122" s="69"/>
      <c r="SGM122" s="69"/>
      <c r="SGN122" s="69"/>
      <c r="SGO122" s="69"/>
      <c r="SGP122" s="69"/>
      <c r="SGQ122" s="69"/>
      <c r="SGR122" s="69"/>
      <c r="SGS122" s="69"/>
      <c r="SGT122" s="69"/>
      <c r="SGU122" s="69"/>
      <c r="SGV122" s="69"/>
      <c r="SGW122" s="69"/>
      <c r="SGX122" s="69"/>
      <c r="SGY122" s="69"/>
      <c r="SGZ122" s="69"/>
      <c r="SHA122" s="69"/>
      <c r="SHB122" s="69"/>
      <c r="SHC122" s="69"/>
      <c r="SHD122" s="69"/>
      <c r="SHE122" s="69"/>
      <c r="SHF122" s="69"/>
      <c r="SHG122" s="69"/>
      <c r="SHH122" s="69"/>
      <c r="SHI122" s="69"/>
      <c r="SHJ122" s="69"/>
      <c r="SHK122" s="69"/>
      <c r="SHL122" s="69"/>
      <c r="SHM122" s="69"/>
      <c r="SHN122" s="69"/>
      <c r="SHO122" s="69"/>
      <c r="SHP122" s="69"/>
      <c r="SHQ122" s="69"/>
      <c r="SHR122" s="69"/>
      <c r="SHS122" s="69"/>
      <c r="SHT122" s="69"/>
      <c r="SHU122" s="69"/>
      <c r="SHV122" s="69"/>
      <c r="SHW122" s="69"/>
      <c r="SHX122" s="69"/>
      <c r="SHY122" s="69"/>
      <c r="SHZ122" s="69"/>
      <c r="SIA122" s="69"/>
      <c r="SIB122" s="69"/>
      <c r="SIC122" s="69"/>
      <c r="SID122" s="69"/>
      <c r="SIE122" s="69"/>
      <c r="SIF122" s="69"/>
      <c r="SIG122" s="69"/>
      <c r="SIH122" s="69"/>
      <c r="SII122" s="69"/>
      <c r="SIJ122" s="69"/>
      <c r="SIK122" s="69"/>
      <c r="SIL122" s="69"/>
      <c r="SIM122" s="69"/>
      <c r="SIN122" s="69"/>
      <c r="SIO122" s="69"/>
      <c r="SIP122" s="69"/>
      <c r="SIQ122" s="69"/>
      <c r="SIR122" s="69"/>
      <c r="SIS122" s="69"/>
      <c r="SIT122" s="69"/>
      <c r="SIU122" s="69"/>
      <c r="SIV122" s="69"/>
      <c r="SIW122" s="69"/>
      <c r="SIX122" s="69"/>
      <c r="SIY122" s="69"/>
      <c r="SIZ122" s="69"/>
      <c r="SJA122" s="69"/>
      <c r="SJB122" s="69"/>
      <c r="SJC122" s="69"/>
      <c r="SJD122" s="69"/>
      <c r="SJE122" s="69"/>
      <c r="SJF122" s="69"/>
      <c r="SJG122" s="69"/>
      <c r="SJH122" s="69"/>
      <c r="SJI122" s="69"/>
      <c r="SJJ122" s="69"/>
      <c r="SJK122" s="69"/>
      <c r="SJL122" s="69"/>
      <c r="SJM122" s="69"/>
      <c r="SJN122" s="69"/>
      <c r="SJO122" s="69"/>
      <c r="SJP122" s="69"/>
      <c r="SJQ122" s="69"/>
      <c r="SJR122" s="69"/>
      <c r="SJS122" s="69"/>
      <c r="SJT122" s="69"/>
      <c r="SJU122" s="69"/>
      <c r="SJV122" s="69"/>
      <c r="SJW122" s="69"/>
      <c r="SJX122" s="69"/>
      <c r="SJY122" s="69"/>
      <c r="SJZ122" s="69"/>
      <c r="SKA122" s="69"/>
      <c r="SKB122" s="69"/>
      <c r="SKC122" s="69"/>
      <c r="SKD122" s="69"/>
      <c r="SKE122" s="69"/>
      <c r="SKF122" s="69"/>
      <c r="SKG122" s="69"/>
      <c r="SKH122" s="69"/>
      <c r="SKI122" s="69"/>
      <c r="SKJ122" s="69"/>
      <c r="SKK122" s="69"/>
      <c r="SKL122" s="69"/>
      <c r="SKM122" s="69"/>
      <c r="SKN122" s="69"/>
      <c r="SKO122" s="69"/>
      <c r="SKP122" s="69"/>
      <c r="SKQ122" s="69"/>
      <c r="SKR122" s="69"/>
      <c r="SKS122" s="69"/>
      <c r="SKT122" s="69"/>
      <c r="SKU122" s="69"/>
      <c r="SKV122" s="69"/>
      <c r="SKW122" s="69"/>
      <c r="SKX122" s="69"/>
      <c r="SKY122" s="69"/>
      <c r="SKZ122" s="69"/>
      <c r="SLA122" s="69"/>
      <c r="SLB122" s="69"/>
      <c r="SLC122" s="69"/>
      <c r="SLD122" s="69"/>
      <c r="SLE122" s="69"/>
      <c r="SLF122" s="69"/>
      <c r="SLG122" s="69"/>
      <c r="SLH122" s="69"/>
      <c r="SLI122" s="69"/>
      <c r="SLJ122" s="69"/>
      <c r="SLK122" s="69"/>
      <c r="SLL122" s="69"/>
      <c r="SLM122" s="69"/>
      <c r="SLN122" s="69"/>
      <c r="SLO122" s="69"/>
      <c r="SLP122" s="69"/>
      <c r="SLQ122" s="69"/>
      <c r="SLR122" s="69"/>
      <c r="SLS122" s="69"/>
      <c r="SLT122" s="69"/>
      <c r="SLU122" s="69"/>
      <c r="SLV122" s="69"/>
      <c r="SLW122" s="69"/>
      <c r="SLX122" s="69"/>
      <c r="SLY122" s="69"/>
      <c r="SLZ122" s="69"/>
      <c r="SMA122" s="69"/>
      <c r="SMB122" s="69"/>
      <c r="SMC122" s="69"/>
      <c r="SMD122" s="69"/>
      <c r="SME122" s="69"/>
      <c r="SMF122" s="69"/>
      <c r="SMG122" s="69"/>
      <c r="SMH122" s="69"/>
      <c r="SMI122" s="69"/>
      <c r="SMJ122" s="69"/>
      <c r="SMK122" s="69"/>
      <c r="SML122" s="69"/>
      <c r="SMM122" s="69"/>
      <c r="SMN122" s="69"/>
      <c r="SMO122" s="69"/>
      <c r="SMP122" s="69"/>
      <c r="SMQ122" s="69"/>
      <c r="SMR122" s="69"/>
      <c r="SMS122" s="69"/>
      <c r="SMT122" s="69"/>
      <c r="SMU122" s="69"/>
      <c r="SMV122" s="69"/>
      <c r="SMW122" s="69"/>
      <c r="SMX122" s="69"/>
      <c r="SMY122" s="69"/>
      <c r="SMZ122" s="69"/>
      <c r="SNA122" s="69"/>
      <c r="SNB122" s="69"/>
      <c r="SNC122" s="69"/>
      <c r="SND122" s="69"/>
      <c r="SNE122" s="69"/>
      <c r="SNF122" s="69"/>
      <c r="SNG122" s="69"/>
      <c r="SNH122" s="69"/>
      <c r="SNI122" s="69"/>
      <c r="SNJ122" s="69"/>
      <c r="SNK122" s="69"/>
      <c r="SNL122" s="69"/>
      <c r="SNM122" s="69"/>
      <c r="SNN122" s="69"/>
      <c r="SNO122" s="69"/>
      <c r="SNP122" s="69"/>
      <c r="SNQ122" s="69"/>
      <c r="SNR122" s="69"/>
      <c r="SNS122" s="69"/>
      <c r="SNT122" s="69"/>
      <c r="SNU122" s="69"/>
      <c r="SNV122" s="69"/>
      <c r="SNW122" s="69"/>
      <c r="SNX122" s="69"/>
      <c r="SNY122" s="69"/>
      <c r="SNZ122" s="69"/>
      <c r="SOA122" s="69"/>
      <c r="SOB122" s="69"/>
      <c r="SOC122" s="69"/>
      <c r="SOD122" s="69"/>
      <c r="SOE122" s="69"/>
      <c r="SOF122" s="69"/>
      <c r="SOG122" s="69"/>
      <c r="SOH122" s="69"/>
      <c r="SOI122" s="69"/>
      <c r="SOJ122" s="69"/>
      <c r="SOK122" s="69"/>
      <c r="SOL122" s="69"/>
      <c r="SOM122" s="69"/>
      <c r="SON122" s="69"/>
      <c r="SOO122" s="69"/>
      <c r="SOP122" s="69"/>
      <c r="SOQ122" s="69"/>
      <c r="SOR122" s="69"/>
      <c r="SOS122" s="69"/>
      <c r="SOT122" s="69"/>
      <c r="SOU122" s="69"/>
      <c r="SOV122" s="69"/>
      <c r="SOW122" s="69"/>
      <c r="SOX122" s="69"/>
      <c r="SOY122" s="69"/>
      <c r="SOZ122" s="69"/>
      <c r="SPA122" s="69"/>
      <c r="SPB122" s="69"/>
      <c r="SPC122" s="69"/>
      <c r="SPD122" s="69"/>
      <c r="SPE122" s="69"/>
      <c r="SPF122" s="69"/>
      <c r="SPG122" s="69"/>
      <c r="SPH122" s="69"/>
      <c r="SPI122" s="69"/>
      <c r="SPJ122" s="69"/>
      <c r="SPK122" s="69"/>
      <c r="SPL122" s="69"/>
      <c r="SPM122" s="69"/>
      <c r="SPN122" s="69"/>
      <c r="SPO122" s="69"/>
      <c r="SPP122" s="69"/>
      <c r="SPQ122" s="69"/>
      <c r="SPR122" s="69"/>
      <c r="SPS122" s="69"/>
      <c r="SPT122" s="69"/>
      <c r="SPU122" s="69"/>
      <c r="SPV122" s="69"/>
      <c r="SPW122" s="69"/>
      <c r="SPX122" s="69"/>
      <c r="SPY122" s="69"/>
      <c r="SPZ122" s="69"/>
      <c r="SQA122" s="69"/>
      <c r="SQB122" s="69"/>
      <c r="SQC122" s="69"/>
      <c r="SQD122" s="69"/>
      <c r="SQE122" s="69"/>
      <c r="SQF122" s="69"/>
      <c r="SQG122" s="69"/>
      <c r="SQH122" s="69"/>
      <c r="SQI122" s="69"/>
      <c r="SQJ122" s="69"/>
      <c r="SQK122" s="69"/>
      <c r="SQL122" s="69"/>
      <c r="SQM122" s="69"/>
      <c r="SQN122" s="69"/>
      <c r="SQO122" s="69"/>
      <c r="SQP122" s="69"/>
      <c r="SQQ122" s="69"/>
      <c r="SQR122" s="69"/>
      <c r="SQS122" s="69"/>
      <c r="SQT122" s="69"/>
      <c r="SQU122" s="69"/>
      <c r="SQV122" s="69"/>
      <c r="SQW122" s="69"/>
      <c r="SQX122" s="69"/>
      <c r="SQY122" s="69"/>
      <c r="SQZ122" s="69"/>
      <c r="SRA122" s="69"/>
      <c r="SRB122" s="69"/>
      <c r="SRC122" s="69"/>
      <c r="SRD122" s="69"/>
      <c r="SRE122" s="69"/>
      <c r="SRF122" s="69"/>
      <c r="SRG122" s="69"/>
      <c r="SRH122" s="69"/>
      <c r="SRI122" s="69"/>
      <c r="SRJ122" s="69"/>
      <c r="SRK122" s="69"/>
      <c r="SRL122" s="69"/>
      <c r="SRM122" s="69"/>
      <c r="SRN122" s="69"/>
      <c r="SRO122" s="69"/>
      <c r="SRP122" s="69"/>
      <c r="SRQ122" s="69"/>
      <c r="SRR122" s="69"/>
      <c r="SRS122" s="69"/>
      <c r="SRT122" s="69"/>
      <c r="SRU122" s="69"/>
      <c r="SRV122" s="69"/>
      <c r="SRW122" s="69"/>
      <c r="SRX122" s="69"/>
      <c r="SRY122" s="69"/>
      <c r="SRZ122" s="69"/>
      <c r="SSA122" s="69"/>
      <c r="SSB122" s="69"/>
      <c r="SSC122" s="69"/>
      <c r="SSD122" s="69"/>
      <c r="SSE122" s="69"/>
      <c r="SSF122" s="69"/>
      <c r="SSG122" s="69"/>
      <c r="SSH122" s="69"/>
      <c r="SSI122" s="69"/>
      <c r="SSJ122" s="69"/>
      <c r="SSK122" s="69"/>
      <c r="SSL122" s="69"/>
      <c r="SSM122" s="69"/>
      <c r="SSN122" s="69"/>
      <c r="SSO122" s="69"/>
      <c r="SSP122" s="69"/>
      <c r="SSQ122" s="69"/>
      <c r="SSR122" s="69"/>
      <c r="SSS122" s="69"/>
      <c r="SST122" s="69"/>
      <c r="SSU122" s="69"/>
      <c r="SSV122" s="69"/>
      <c r="SSW122" s="69"/>
      <c r="SSX122" s="69"/>
      <c r="SSY122" s="69"/>
      <c r="SSZ122" s="69"/>
      <c r="STA122" s="69"/>
      <c r="STB122" s="69"/>
      <c r="STC122" s="69"/>
      <c r="STD122" s="69"/>
      <c r="STE122" s="69"/>
      <c r="STF122" s="69"/>
      <c r="STG122" s="69"/>
      <c r="STH122" s="69"/>
      <c r="STI122" s="69"/>
      <c r="STJ122" s="69"/>
      <c r="STK122" s="69"/>
      <c r="STL122" s="69"/>
      <c r="STM122" s="69"/>
      <c r="STN122" s="69"/>
      <c r="STO122" s="69"/>
      <c r="STP122" s="69"/>
      <c r="STQ122" s="69"/>
      <c r="STR122" s="69"/>
      <c r="STS122" s="69"/>
      <c r="STT122" s="69"/>
      <c r="STU122" s="69"/>
      <c r="STV122" s="69"/>
      <c r="STW122" s="69"/>
      <c r="STX122" s="69"/>
      <c r="STY122" s="69"/>
      <c r="STZ122" s="69"/>
      <c r="SUA122" s="69"/>
      <c r="SUB122" s="69"/>
      <c r="SUC122" s="69"/>
      <c r="SUD122" s="69"/>
      <c r="SUE122" s="69"/>
      <c r="SUF122" s="69"/>
      <c r="SUG122" s="69"/>
      <c r="SUH122" s="69"/>
      <c r="SUI122" s="69"/>
      <c r="SUJ122" s="69"/>
      <c r="SUK122" s="69"/>
      <c r="SUL122" s="69"/>
      <c r="SUM122" s="69"/>
      <c r="SUN122" s="69"/>
      <c r="SUO122" s="69"/>
      <c r="SUP122" s="69"/>
      <c r="SUQ122" s="69"/>
      <c r="SUR122" s="69"/>
      <c r="SUS122" s="69"/>
      <c r="SUT122" s="69"/>
      <c r="SUU122" s="69"/>
      <c r="SUV122" s="69"/>
      <c r="SUW122" s="69"/>
      <c r="SUX122" s="69"/>
      <c r="SUY122" s="69"/>
      <c r="SUZ122" s="69"/>
      <c r="SVA122" s="69"/>
      <c r="SVB122" s="69"/>
      <c r="SVC122" s="69"/>
      <c r="SVD122" s="69"/>
      <c r="SVE122" s="69"/>
      <c r="SVF122" s="69"/>
      <c r="SVG122" s="69"/>
      <c r="SVH122" s="69"/>
      <c r="SVI122" s="69"/>
      <c r="SVJ122" s="69"/>
      <c r="SVK122" s="69"/>
      <c r="SVL122" s="69"/>
      <c r="SVM122" s="69"/>
      <c r="SVN122" s="69"/>
      <c r="SVO122" s="69"/>
      <c r="SVP122" s="69"/>
      <c r="SVQ122" s="69"/>
      <c r="SVR122" s="69"/>
      <c r="SVS122" s="69"/>
      <c r="SVT122" s="69"/>
      <c r="SVU122" s="69"/>
      <c r="SVV122" s="69"/>
      <c r="SVW122" s="69"/>
      <c r="SVX122" s="69"/>
      <c r="SVY122" s="69"/>
      <c r="SVZ122" s="69"/>
      <c r="SWA122" s="69"/>
      <c r="SWB122" s="69"/>
      <c r="SWC122" s="69"/>
      <c r="SWD122" s="69"/>
      <c r="SWE122" s="69"/>
      <c r="SWF122" s="69"/>
      <c r="SWG122" s="69"/>
      <c r="SWH122" s="69"/>
      <c r="SWI122" s="69"/>
      <c r="SWJ122" s="69"/>
      <c r="SWK122" s="69"/>
      <c r="SWL122" s="69"/>
      <c r="SWM122" s="69"/>
      <c r="SWN122" s="69"/>
      <c r="SWO122" s="69"/>
      <c r="SWP122" s="69"/>
      <c r="SWQ122" s="69"/>
      <c r="SWR122" s="69"/>
      <c r="SWS122" s="69"/>
      <c r="SWT122" s="69"/>
      <c r="SWU122" s="69"/>
      <c r="SWV122" s="69"/>
      <c r="SWW122" s="69"/>
      <c r="SWX122" s="69"/>
      <c r="SWY122" s="69"/>
      <c r="SWZ122" s="69"/>
      <c r="SXA122" s="69"/>
      <c r="SXB122" s="69"/>
      <c r="SXC122" s="69"/>
      <c r="SXD122" s="69"/>
      <c r="SXE122" s="69"/>
      <c r="SXF122" s="69"/>
      <c r="SXG122" s="69"/>
      <c r="SXH122" s="69"/>
      <c r="SXI122" s="69"/>
      <c r="SXJ122" s="69"/>
      <c r="SXK122" s="69"/>
      <c r="SXL122" s="69"/>
      <c r="SXM122" s="69"/>
      <c r="SXN122" s="69"/>
      <c r="SXO122" s="69"/>
      <c r="SXP122" s="69"/>
      <c r="SXQ122" s="69"/>
      <c r="SXR122" s="69"/>
      <c r="SXS122" s="69"/>
      <c r="SXT122" s="69"/>
      <c r="SXU122" s="69"/>
      <c r="SXV122" s="69"/>
      <c r="SXW122" s="69"/>
      <c r="SXX122" s="69"/>
      <c r="SXY122" s="69"/>
      <c r="SXZ122" s="69"/>
      <c r="SYA122" s="69"/>
      <c r="SYB122" s="69"/>
      <c r="SYC122" s="69"/>
      <c r="SYD122" s="69"/>
      <c r="SYE122" s="69"/>
      <c r="SYF122" s="69"/>
      <c r="SYG122" s="69"/>
      <c r="SYH122" s="69"/>
      <c r="SYI122" s="69"/>
      <c r="SYJ122" s="69"/>
      <c r="SYK122" s="69"/>
      <c r="SYL122" s="69"/>
      <c r="SYM122" s="69"/>
      <c r="SYN122" s="69"/>
      <c r="SYO122" s="69"/>
      <c r="SYP122" s="69"/>
      <c r="SYQ122" s="69"/>
      <c r="SYR122" s="69"/>
      <c r="SYS122" s="69"/>
      <c r="SYT122" s="69"/>
      <c r="SYU122" s="69"/>
      <c r="SYV122" s="69"/>
      <c r="SYW122" s="69"/>
      <c r="SYX122" s="69"/>
      <c r="SYY122" s="69"/>
      <c r="SYZ122" s="69"/>
      <c r="SZA122" s="69"/>
      <c r="SZB122" s="69"/>
      <c r="SZC122" s="69"/>
      <c r="SZD122" s="69"/>
      <c r="SZE122" s="69"/>
      <c r="SZF122" s="69"/>
      <c r="SZG122" s="69"/>
      <c r="SZH122" s="69"/>
      <c r="SZI122" s="69"/>
      <c r="SZJ122" s="69"/>
      <c r="SZK122" s="69"/>
      <c r="SZL122" s="69"/>
      <c r="SZM122" s="69"/>
      <c r="SZN122" s="69"/>
      <c r="SZO122" s="69"/>
      <c r="SZP122" s="69"/>
      <c r="SZQ122" s="69"/>
      <c r="SZR122" s="69"/>
      <c r="SZS122" s="69"/>
      <c r="SZT122" s="69"/>
      <c r="SZU122" s="69"/>
      <c r="SZV122" s="69"/>
      <c r="SZW122" s="69"/>
      <c r="SZX122" s="69"/>
      <c r="SZY122" s="69"/>
      <c r="SZZ122" s="69"/>
      <c r="TAA122" s="69"/>
      <c r="TAB122" s="69"/>
      <c r="TAC122" s="69"/>
      <c r="TAD122" s="69"/>
      <c r="TAE122" s="69"/>
      <c r="TAF122" s="69"/>
      <c r="TAG122" s="69"/>
      <c r="TAH122" s="69"/>
      <c r="TAI122" s="69"/>
      <c r="TAJ122" s="69"/>
      <c r="TAK122" s="69"/>
      <c r="TAL122" s="69"/>
      <c r="TAM122" s="69"/>
      <c r="TAN122" s="69"/>
      <c r="TAO122" s="69"/>
      <c r="TAP122" s="69"/>
      <c r="TAQ122" s="69"/>
      <c r="TAR122" s="69"/>
      <c r="TAS122" s="69"/>
      <c r="TAT122" s="69"/>
      <c r="TAU122" s="69"/>
      <c r="TAV122" s="69"/>
      <c r="TAW122" s="69"/>
      <c r="TAX122" s="69"/>
      <c r="TAY122" s="69"/>
      <c r="TAZ122" s="69"/>
      <c r="TBA122" s="69"/>
      <c r="TBB122" s="69"/>
      <c r="TBC122" s="69"/>
      <c r="TBD122" s="69"/>
      <c r="TBE122" s="69"/>
      <c r="TBF122" s="69"/>
      <c r="TBG122" s="69"/>
      <c r="TBH122" s="69"/>
      <c r="TBI122" s="69"/>
      <c r="TBJ122" s="69"/>
      <c r="TBK122" s="69"/>
      <c r="TBL122" s="69"/>
      <c r="TBM122" s="69"/>
      <c r="TBN122" s="69"/>
      <c r="TBO122" s="69"/>
      <c r="TBP122" s="69"/>
      <c r="TBQ122" s="69"/>
      <c r="TBR122" s="69"/>
      <c r="TBS122" s="69"/>
      <c r="TBT122" s="69"/>
      <c r="TBU122" s="69"/>
      <c r="TBV122" s="69"/>
      <c r="TBW122" s="69"/>
      <c r="TBX122" s="69"/>
      <c r="TBY122" s="69"/>
      <c r="TBZ122" s="69"/>
      <c r="TCA122" s="69"/>
      <c r="TCB122" s="69"/>
      <c r="TCC122" s="69"/>
      <c r="TCD122" s="69"/>
      <c r="TCE122" s="69"/>
      <c r="TCF122" s="69"/>
      <c r="TCG122" s="69"/>
      <c r="TCH122" s="69"/>
      <c r="TCI122" s="69"/>
      <c r="TCJ122" s="69"/>
      <c r="TCK122" s="69"/>
      <c r="TCL122" s="69"/>
      <c r="TCM122" s="69"/>
      <c r="TCN122" s="69"/>
      <c r="TCO122" s="69"/>
      <c r="TCP122" s="69"/>
      <c r="TCQ122" s="69"/>
      <c r="TCR122" s="69"/>
      <c r="TCS122" s="69"/>
      <c r="TCT122" s="69"/>
      <c r="TCU122" s="69"/>
      <c r="TCV122" s="69"/>
      <c r="TCW122" s="69"/>
      <c r="TCX122" s="69"/>
      <c r="TCY122" s="69"/>
      <c r="TCZ122" s="69"/>
      <c r="TDA122" s="69"/>
      <c r="TDB122" s="69"/>
      <c r="TDC122" s="69"/>
      <c r="TDD122" s="69"/>
      <c r="TDE122" s="69"/>
      <c r="TDF122" s="69"/>
      <c r="TDG122" s="69"/>
      <c r="TDH122" s="69"/>
      <c r="TDI122" s="69"/>
      <c r="TDJ122" s="69"/>
      <c r="TDK122" s="69"/>
      <c r="TDL122" s="69"/>
      <c r="TDM122" s="69"/>
      <c r="TDN122" s="69"/>
      <c r="TDO122" s="69"/>
      <c r="TDP122" s="69"/>
      <c r="TDQ122" s="69"/>
      <c r="TDR122" s="69"/>
      <c r="TDS122" s="69"/>
      <c r="TDT122" s="69"/>
      <c r="TDU122" s="69"/>
      <c r="TDV122" s="69"/>
      <c r="TDW122" s="69"/>
      <c r="TDX122" s="69"/>
      <c r="TDY122" s="69"/>
      <c r="TDZ122" s="69"/>
      <c r="TEA122" s="69"/>
      <c r="TEB122" s="69"/>
      <c r="TEC122" s="69"/>
      <c r="TED122" s="69"/>
      <c r="TEE122" s="69"/>
      <c r="TEF122" s="69"/>
      <c r="TEG122" s="69"/>
      <c r="TEH122" s="69"/>
      <c r="TEI122" s="69"/>
      <c r="TEJ122" s="69"/>
      <c r="TEK122" s="69"/>
      <c r="TEL122" s="69"/>
      <c r="TEM122" s="69"/>
      <c r="TEN122" s="69"/>
      <c r="TEO122" s="69"/>
      <c r="TEP122" s="69"/>
      <c r="TEQ122" s="69"/>
      <c r="TER122" s="69"/>
      <c r="TES122" s="69"/>
      <c r="TET122" s="69"/>
      <c r="TEU122" s="69"/>
      <c r="TEV122" s="69"/>
      <c r="TEW122" s="69"/>
      <c r="TEX122" s="69"/>
      <c r="TEY122" s="69"/>
      <c r="TEZ122" s="69"/>
      <c r="TFA122" s="69"/>
      <c r="TFB122" s="69"/>
      <c r="TFC122" s="69"/>
      <c r="TFD122" s="69"/>
      <c r="TFE122" s="69"/>
      <c r="TFF122" s="69"/>
      <c r="TFG122" s="69"/>
      <c r="TFH122" s="69"/>
      <c r="TFI122" s="69"/>
      <c r="TFJ122" s="69"/>
      <c r="TFK122" s="69"/>
      <c r="TFL122" s="69"/>
      <c r="TFM122" s="69"/>
      <c r="TFN122" s="69"/>
      <c r="TFO122" s="69"/>
      <c r="TFP122" s="69"/>
      <c r="TFQ122" s="69"/>
      <c r="TFR122" s="69"/>
      <c r="TFS122" s="69"/>
      <c r="TFT122" s="69"/>
      <c r="TFU122" s="69"/>
      <c r="TFV122" s="69"/>
      <c r="TFW122" s="69"/>
      <c r="TFX122" s="69"/>
      <c r="TFY122" s="69"/>
      <c r="TFZ122" s="69"/>
      <c r="TGA122" s="69"/>
      <c r="TGB122" s="69"/>
      <c r="TGC122" s="69"/>
      <c r="TGD122" s="69"/>
      <c r="TGE122" s="69"/>
      <c r="TGF122" s="69"/>
      <c r="TGG122" s="69"/>
      <c r="TGH122" s="69"/>
      <c r="TGI122" s="69"/>
      <c r="TGJ122" s="69"/>
      <c r="TGK122" s="69"/>
      <c r="TGL122" s="69"/>
      <c r="TGM122" s="69"/>
      <c r="TGN122" s="69"/>
      <c r="TGO122" s="69"/>
      <c r="TGP122" s="69"/>
      <c r="TGQ122" s="69"/>
      <c r="TGR122" s="69"/>
      <c r="TGS122" s="69"/>
      <c r="TGT122" s="69"/>
      <c r="TGU122" s="69"/>
      <c r="TGV122" s="69"/>
      <c r="TGW122" s="69"/>
      <c r="TGX122" s="69"/>
      <c r="TGY122" s="69"/>
      <c r="TGZ122" s="69"/>
      <c r="THA122" s="69"/>
      <c r="THB122" s="69"/>
      <c r="THC122" s="69"/>
      <c r="THD122" s="69"/>
      <c r="THE122" s="69"/>
      <c r="THF122" s="69"/>
      <c r="THG122" s="69"/>
      <c r="THH122" s="69"/>
      <c r="THI122" s="69"/>
      <c r="THJ122" s="69"/>
      <c r="THK122" s="69"/>
      <c r="THL122" s="69"/>
      <c r="THM122" s="69"/>
      <c r="THN122" s="69"/>
      <c r="THO122" s="69"/>
      <c r="THP122" s="69"/>
      <c r="THQ122" s="69"/>
      <c r="THR122" s="69"/>
      <c r="THS122" s="69"/>
      <c r="THT122" s="69"/>
      <c r="THU122" s="69"/>
      <c r="THV122" s="69"/>
      <c r="THW122" s="69"/>
      <c r="THX122" s="69"/>
      <c r="THY122" s="69"/>
      <c r="THZ122" s="69"/>
      <c r="TIA122" s="69"/>
      <c r="TIB122" s="69"/>
      <c r="TIC122" s="69"/>
      <c r="TID122" s="69"/>
      <c r="TIE122" s="69"/>
      <c r="TIF122" s="69"/>
      <c r="TIG122" s="69"/>
      <c r="TIH122" s="69"/>
      <c r="TII122" s="69"/>
      <c r="TIJ122" s="69"/>
      <c r="TIK122" s="69"/>
      <c r="TIL122" s="69"/>
      <c r="TIM122" s="69"/>
      <c r="TIN122" s="69"/>
      <c r="TIO122" s="69"/>
      <c r="TIP122" s="69"/>
      <c r="TIQ122" s="69"/>
      <c r="TIR122" s="69"/>
      <c r="TIS122" s="69"/>
      <c r="TIT122" s="69"/>
      <c r="TIU122" s="69"/>
      <c r="TIV122" s="69"/>
      <c r="TIW122" s="69"/>
      <c r="TIX122" s="69"/>
      <c r="TIY122" s="69"/>
      <c r="TIZ122" s="69"/>
      <c r="TJA122" s="69"/>
      <c r="TJB122" s="69"/>
      <c r="TJC122" s="69"/>
      <c r="TJD122" s="69"/>
      <c r="TJE122" s="69"/>
      <c r="TJF122" s="69"/>
      <c r="TJG122" s="69"/>
      <c r="TJH122" s="69"/>
      <c r="TJI122" s="69"/>
      <c r="TJJ122" s="69"/>
      <c r="TJK122" s="69"/>
      <c r="TJL122" s="69"/>
      <c r="TJM122" s="69"/>
      <c r="TJN122" s="69"/>
      <c r="TJO122" s="69"/>
      <c r="TJP122" s="69"/>
      <c r="TJQ122" s="69"/>
      <c r="TJR122" s="69"/>
      <c r="TJS122" s="69"/>
      <c r="TJT122" s="69"/>
      <c r="TJU122" s="69"/>
      <c r="TJV122" s="69"/>
      <c r="TJW122" s="69"/>
      <c r="TJX122" s="69"/>
      <c r="TJY122" s="69"/>
      <c r="TJZ122" s="69"/>
      <c r="TKA122" s="69"/>
      <c r="TKB122" s="69"/>
      <c r="TKC122" s="69"/>
      <c r="TKD122" s="69"/>
      <c r="TKE122" s="69"/>
      <c r="TKF122" s="69"/>
      <c r="TKG122" s="69"/>
      <c r="TKH122" s="69"/>
      <c r="TKI122" s="69"/>
      <c r="TKJ122" s="69"/>
      <c r="TKK122" s="69"/>
      <c r="TKL122" s="69"/>
      <c r="TKM122" s="69"/>
      <c r="TKN122" s="69"/>
      <c r="TKO122" s="69"/>
      <c r="TKP122" s="69"/>
      <c r="TKQ122" s="69"/>
      <c r="TKR122" s="69"/>
      <c r="TKS122" s="69"/>
      <c r="TKT122" s="69"/>
      <c r="TKU122" s="69"/>
      <c r="TKV122" s="69"/>
      <c r="TKW122" s="69"/>
      <c r="TKX122" s="69"/>
      <c r="TKY122" s="69"/>
      <c r="TKZ122" s="69"/>
      <c r="TLA122" s="69"/>
      <c r="TLB122" s="69"/>
      <c r="TLC122" s="69"/>
      <c r="TLD122" s="69"/>
      <c r="TLE122" s="69"/>
      <c r="TLF122" s="69"/>
      <c r="TLG122" s="69"/>
      <c r="TLH122" s="69"/>
      <c r="TLI122" s="69"/>
      <c r="TLJ122" s="69"/>
      <c r="TLK122" s="69"/>
      <c r="TLL122" s="69"/>
      <c r="TLM122" s="69"/>
      <c r="TLN122" s="69"/>
      <c r="TLO122" s="69"/>
      <c r="TLP122" s="69"/>
      <c r="TLQ122" s="69"/>
      <c r="TLR122" s="69"/>
      <c r="TLS122" s="69"/>
      <c r="TLT122" s="69"/>
      <c r="TLU122" s="69"/>
      <c r="TLV122" s="69"/>
      <c r="TLW122" s="69"/>
      <c r="TLX122" s="69"/>
      <c r="TLY122" s="69"/>
      <c r="TLZ122" s="69"/>
      <c r="TMA122" s="69"/>
      <c r="TMB122" s="69"/>
      <c r="TMC122" s="69"/>
      <c r="TMD122" s="69"/>
      <c r="TME122" s="69"/>
      <c r="TMF122" s="69"/>
      <c r="TMG122" s="69"/>
      <c r="TMH122" s="69"/>
      <c r="TMI122" s="69"/>
      <c r="TMJ122" s="69"/>
      <c r="TMK122" s="69"/>
      <c r="TML122" s="69"/>
      <c r="TMM122" s="69"/>
      <c r="TMN122" s="69"/>
      <c r="TMO122" s="69"/>
      <c r="TMP122" s="69"/>
      <c r="TMQ122" s="69"/>
      <c r="TMR122" s="69"/>
      <c r="TMS122" s="69"/>
      <c r="TMT122" s="69"/>
      <c r="TMU122" s="69"/>
      <c r="TMV122" s="69"/>
      <c r="TMW122" s="69"/>
      <c r="TMX122" s="69"/>
      <c r="TMY122" s="69"/>
      <c r="TMZ122" s="69"/>
      <c r="TNA122" s="69"/>
      <c r="TNB122" s="69"/>
      <c r="TNC122" s="69"/>
      <c r="TND122" s="69"/>
      <c r="TNE122" s="69"/>
      <c r="TNF122" s="69"/>
      <c r="TNG122" s="69"/>
      <c r="TNH122" s="69"/>
      <c r="TNI122" s="69"/>
      <c r="TNJ122" s="69"/>
      <c r="TNK122" s="69"/>
      <c r="TNL122" s="69"/>
      <c r="TNM122" s="69"/>
      <c r="TNN122" s="69"/>
      <c r="TNO122" s="69"/>
      <c r="TNP122" s="69"/>
      <c r="TNQ122" s="69"/>
      <c r="TNR122" s="69"/>
      <c r="TNS122" s="69"/>
      <c r="TNT122" s="69"/>
      <c r="TNU122" s="69"/>
      <c r="TNV122" s="69"/>
      <c r="TNW122" s="69"/>
      <c r="TNX122" s="69"/>
      <c r="TNY122" s="69"/>
      <c r="TNZ122" s="69"/>
      <c r="TOA122" s="69"/>
      <c r="TOB122" s="69"/>
      <c r="TOC122" s="69"/>
      <c r="TOD122" s="69"/>
      <c r="TOE122" s="69"/>
      <c r="TOF122" s="69"/>
      <c r="TOG122" s="69"/>
      <c r="TOH122" s="69"/>
      <c r="TOI122" s="69"/>
      <c r="TOJ122" s="69"/>
      <c r="TOK122" s="69"/>
      <c r="TOL122" s="69"/>
      <c r="TOM122" s="69"/>
      <c r="TON122" s="69"/>
      <c r="TOO122" s="69"/>
      <c r="TOP122" s="69"/>
      <c r="TOQ122" s="69"/>
      <c r="TOR122" s="69"/>
      <c r="TOS122" s="69"/>
      <c r="TOT122" s="69"/>
      <c r="TOU122" s="69"/>
      <c r="TOV122" s="69"/>
      <c r="TOW122" s="69"/>
      <c r="TOX122" s="69"/>
      <c r="TOY122" s="69"/>
      <c r="TOZ122" s="69"/>
      <c r="TPA122" s="69"/>
      <c r="TPB122" s="69"/>
      <c r="TPC122" s="69"/>
      <c r="TPD122" s="69"/>
      <c r="TPE122" s="69"/>
      <c r="TPF122" s="69"/>
      <c r="TPG122" s="69"/>
      <c r="TPH122" s="69"/>
      <c r="TPI122" s="69"/>
      <c r="TPJ122" s="69"/>
      <c r="TPK122" s="69"/>
      <c r="TPL122" s="69"/>
      <c r="TPM122" s="69"/>
      <c r="TPN122" s="69"/>
      <c r="TPO122" s="69"/>
      <c r="TPP122" s="69"/>
      <c r="TPQ122" s="69"/>
      <c r="TPR122" s="69"/>
      <c r="TPS122" s="69"/>
      <c r="TPT122" s="69"/>
      <c r="TPU122" s="69"/>
      <c r="TPV122" s="69"/>
      <c r="TPW122" s="69"/>
      <c r="TPX122" s="69"/>
      <c r="TPY122" s="69"/>
      <c r="TPZ122" s="69"/>
      <c r="TQA122" s="69"/>
      <c r="TQB122" s="69"/>
      <c r="TQC122" s="69"/>
      <c r="TQD122" s="69"/>
      <c r="TQE122" s="69"/>
      <c r="TQF122" s="69"/>
      <c r="TQG122" s="69"/>
      <c r="TQH122" s="69"/>
      <c r="TQI122" s="69"/>
      <c r="TQJ122" s="69"/>
      <c r="TQK122" s="69"/>
      <c r="TQL122" s="69"/>
      <c r="TQM122" s="69"/>
      <c r="TQN122" s="69"/>
      <c r="TQO122" s="69"/>
      <c r="TQP122" s="69"/>
      <c r="TQQ122" s="69"/>
      <c r="TQR122" s="69"/>
      <c r="TQS122" s="69"/>
      <c r="TQT122" s="69"/>
      <c r="TQU122" s="69"/>
      <c r="TQV122" s="69"/>
      <c r="TQW122" s="69"/>
      <c r="TQX122" s="69"/>
      <c r="TQY122" s="69"/>
      <c r="TQZ122" s="69"/>
      <c r="TRA122" s="69"/>
      <c r="TRB122" s="69"/>
      <c r="TRC122" s="69"/>
      <c r="TRD122" s="69"/>
      <c r="TRE122" s="69"/>
      <c r="TRF122" s="69"/>
      <c r="TRG122" s="69"/>
      <c r="TRH122" s="69"/>
      <c r="TRI122" s="69"/>
      <c r="TRJ122" s="69"/>
      <c r="TRK122" s="69"/>
      <c r="TRL122" s="69"/>
      <c r="TRM122" s="69"/>
      <c r="TRN122" s="69"/>
      <c r="TRO122" s="69"/>
      <c r="TRP122" s="69"/>
      <c r="TRQ122" s="69"/>
      <c r="TRR122" s="69"/>
      <c r="TRS122" s="69"/>
      <c r="TRT122" s="69"/>
      <c r="TRU122" s="69"/>
      <c r="TRV122" s="69"/>
      <c r="TRW122" s="69"/>
      <c r="TRX122" s="69"/>
      <c r="TRY122" s="69"/>
      <c r="TRZ122" s="69"/>
      <c r="TSA122" s="69"/>
      <c r="TSB122" s="69"/>
      <c r="TSC122" s="69"/>
      <c r="TSD122" s="69"/>
      <c r="TSE122" s="69"/>
      <c r="TSF122" s="69"/>
      <c r="TSG122" s="69"/>
      <c r="TSH122" s="69"/>
      <c r="TSI122" s="69"/>
      <c r="TSJ122" s="69"/>
      <c r="TSK122" s="69"/>
      <c r="TSL122" s="69"/>
      <c r="TSM122" s="69"/>
      <c r="TSN122" s="69"/>
      <c r="TSO122" s="69"/>
      <c r="TSP122" s="69"/>
      <c r="TSQ122" s="69"/>
      <c r="TSR122" s="69"/>
      <c r="TSS122" s="69"/>
      <c r="TST122" s="69"/>
      <c r="TSU122" s="69"/>
      <c r="TSV122" s="69"/>
      <c r="TSW122" s="69"/>
      <c r="TSX122" s="69"/>
      <c r="TSY122" s="69"/>
      <c r="TSZ122" s="69"/>
      <c r="TTA122" s="69"/>
      <c r="TTB122" s="69"/>
      <c r="TTC122" s="69"/>
      <c r="TTD122" s="69"/>
      <c r="TTE122" s="69"/>
      <c r="TTF122" s="69"/>
      <c r="TTG122" s="69"/>
      <c r="TTH122" s="69"/>
      <c r="TTI122" s="69"/>
      <c r="TTJ122" s="69"/>
      <c r="TTK122" s="69"/>
      <c r="TTL122" s="69"/>
      <c r="TTM122" s="69"/>
      <c r="TTN122" s="69"/>
      <c r="TTO122" s="69"/>
      <c r="TTP122" s="69"/>
      <c r="TTQ122" s="69"/>
      <c r="TTR122" s="69"/>
      <c r="TTS122" s="69"/>
      <c r="TTT122" s="69"/>
      <c r="TTU122" s="69"/>
      <c r="TTV122" s="69"/>
      <c r="TTW122" s="69"/>
      <c r="TTX122" s="69"/>
      <c r="TTY122" s="69"/>
      <c r="TTZ122" s="69"/>
      <c r="TUA122" s="69"/>
      <c r="TUB122" s="69"/>
      <c r="TUC122" s="69"/>
      <c r="TUD122" s="69"/>
      <c r="TUE122" s="69"/>
      <c r="TUF122" s="69"/>
      <c r="TUG122" s="69"/>
      <c r="TUH122" s="69"/>
      <c r="TUI122" s="69"/>
      <c r="TUJ122" s="69"/>
      <c r="TUK122" s="69"/>
      <c r="TUL122" s="69"/>
      <c r="TUM122" s="69"/>
      <c r="TUN122" s="69"/>
      <c r="TUO122" s="69"/>
      <c r="TUP122" s="69"/>
      <c r="TUQ122" s="69"/>
      <c r="TUR122" s="69"/>
      <c r="TUS122" s="69"/>
      <c r="TUT122" s="69"/>
      <c r="TUU122" s="69"/>
      <c r="TUV122" s="69"/>
      <c r="TUW122" s="69"/>
      <c r="TUX122" s="69"/>
      <c r="TUY122" s="69"/>
      <c r="TUZ122" s="69"/>
      <c r="TVA122" s="69"/>
      <c r="TVB122" s="69"/>
      <c r="TVC122" s="69"/>
      <c r="TVD122" s="69"/>
      <c r="TVE122" s="69"/>
      <c r="TVF122" s="69"/>
      <c r="TVG122" s="69"/>
      <c r="TVH122" s="69"/>
      <c r="TVI122" s="69"/>
      <c r="TVJ122" s="69"/>
      <c r="TVK122" s="69"/>
      <c r="TVL122" s="69"/>
      <c r="TVM122" s="69"/>
      <c r="TVN122" s="69"/>
      <c r="TVO122" s="69"/>
      <c r="TVP122" s="69"/>
      <c r="TVQ122" s="69"/>
      <c r="TVR122" s="69"/>
      <c r="TVS122" s="69"/>
      <c r="TVT122" s="69"/>
      <c r="TVU122" s="69"/>
      <c r="TVV122" s="69"/>
      <c r="TVW122" s="69"/>
      <c r="TVX122" s="69"/>
      <c r="TVY122" s="69"/>
      <c r="TVZ122" s="69"/>
      <c r="TWA122" s="69"/>
      <c r="TWB122" s="69"/>
      <c r="TWC122" s="69"/>
      <c r="TWD122" s="69"/>
      <c r="TWE122" s="69"/>
      <c r="TWF122" s="69"/>
      <c r="TWG122" s="69"/>
      <c r="TWH122" s="69"/>
      <c r="TWI122" s="69"/>
      <c r="TWJ122" s="69"/>
      <c r="TWK122" s="69"/>
      <c r="TWL122" s="69"/>
      <c r="TWM122" s="69"/>
      <c r="TWN122" s="69"/>
      <c r="TWO122" s="69"/>
      <c r="TWP122" s="69"/>
      <c r="TWQ122" s="69"/>
      <c r="TWR122" s="69"/>
      <c r="TWS122" s="69"/>
      <c r="TWT122" s="69"/>
      <c r="TWU122" s="69"/>
      <c r="TWV122" s="69"/>
      <c r="TWW122" s="69"/>
      <c r="TWX122" s="69"/>
      <c r="TWY122" s="69"/>
      <c r="TWZ122" s="69"/>
      <c r="TXA122" s="69"/>
      <c r="TXB122" s="69"/>
      <c r="TXC122" s="69"/>
      <c r="TXD122" s="69"/>
      <c r="TXE122" s="69"/>
      <c r="TXF122" s="69"/>
      <c r="TXG122" s="69"/>
      <c r="TXH122" s="69"/>
      <c r="TXI122" s="69"/>
      <c r="TXJ122" s="69"/>
      <c r="TXK122" s="69"/>
      <c r="TXL122" s="69"/>
      <c r="TXM122" s="69"/>
      <c r="TXN122" s="69"/>
      <c r="TXO122" s="69"/>
      <c r="TXP122" s="69"/>
      <c r="TXQ122" s="69"/>
      <c r="TXR122" s="69"/>
      <c r="TXS122" s="69"/>
      <c r="TXT122" s="69"/>
      <c r="TXU122" s="69"/>
      <c r="TXV122" s="69"/>
      <c r="TXW122" s="69"/>
      <c r="TXX122" s="69"/>
      <c r="TXY122" s="69"/>
      <c r="TXZ122" s="69"/>
      <c r="TYA122" s="69"/>
      <c r="TYB122" s="69"/>
      <c r="TYC122" s="69"/>
      <c r="TYD122" s="69"/>
      <c r="TYE122" s="69"/>
      <c r="TYF122" s="69"/>
      <c r="TYG122" s="69"/>
      <c r="TYH122" s="69"/>
      <c r="TYI122" s="69"/>
      <c r="TYJ122" s="69"/>
      <c r="TYK122" s="69"/>
      <c r="TYL122" s="69"/>
      <c r="TYM122" s="69"/>
      <c r="TYN122" s="69"/>
      <c r="TYO122" s="69"/>
      <c r="TYP122" s="69"/>
      <c r="TYQ122" s="69"/>
      <c r="TYR122" s="69"/>
      <c r="TYS122" s="69"/>
      <c r="TYT122" s="69"/>
      <c r="TYU122" s="69"/>
      <c r="TYV122" s="69"/>
      <c r="TYW122" s="69"/>
      <c r="TYX122" s="69"/>
      <c r="TYY122" s="69"/>
      <c r="TYZ122" s="69"/>
      <c r="TZA122" s="69"/>
      <c r="TZB122" s="69"/>
      <c r="TZC122" s="69"/>
      <c r="TZD122" s="69"/>
      <c r="TZE122" s="69"/>
      <c r="TZF122" s="69"/>
      <c r="TZG122" s="69"/>
      <c r="TZH122" s="69"/>
      <c r="TZI122" s="69"/>
      <c r="TZJ122" s="69"/>
      <c r="TZK122" s="69"/>
      <c r="TZL122" s="69"/>
      <c r="TZM122" s="69"/>
      <c r="TZN122" s="69"/>
      <c r="TZO122" s="69"/>
      <c r="TZP122" s="69"/>
      <c r="TZQ122" s="69"/>
      <c r="TZR122" s="69"/>
      <c r="TZS122" s="69"/>
      <c r="TZT122" s="69"/>
      <c r="TZU122" s="69"/>
      <c r="TZV122" s="69"/>
      <c r="TZW122" s="69"/>
      <c r="TZX122" s="69"/>
      <c r="TZY122" s="69"/>
      <c r="TZZ122" s="69"/>
      <c r="UAA122" s="69"/>
      <c r="UAB122" s="69"/>
      <c r="UAC122" s="69"/>
      <c r="UAD122" s="69"/>
      <c r="UAE122" s="69"/>
      <c r="UAF122" s="69"/>
      <c r="UAG122" s="69"/>
      <c r="UAH122" s="69"/>
      <c r="UAI122" s="69"/>
      <c r="UAJ122" s="69"/>
      <c r="UAK122" s="69"/>
      <c r="UAL122" s="69"/>
      <c r="UAM122" s="69"/>
      <c r="UAN122" s="69"/>
      <c r="UAO122" s="69"/>
      <c r="UAP122" s="69"/>
      <c r="UAQ122" s="69"/>
      <c r="UAR122" s="69"/>
      <c r="UAS122" s="69"/>
      <c r="UAT122" s="69"/>
      <c r="UAU122" s="69"/>
      <c r="UAV122" s="69"/>
      <c r="UAW122" s="69"/>
      <c r="UAX122" s="69"/>
      <c r="UAY122" s="69"/>
      <c r="UAZ122" s="69"/>
      <c r="UBA122" s="69"/>
      <c r="UBB122" s="69"/>
      <c r="UBC122" s="69"/>
      <c r="UBD122" s="69"/>
      <c r="UBE122" s="69"/>
      <c r="UBF122" s="69"/>
      <c r="UBG122" s="69"/>
      <c r="UBH122" s="69"/>
      <c r="UBI122" s="69"/>
      <c r="UBJ122" s="69"/>
      <c r="UBK122" s="69"/>
      <c r="UBL122" s="69"/>
      <c r="UBM122" s="69"/>
      <c r="UBN122" s="69"/>
      <c r="UBO122" s="69"/>
      <c r="UBP122" s="69"/>
      <c r="UBQ122" s="69"/>
      <c r="UBR122" s="69"/>
      <c r="UBS122" s="69"/>
      <c r="UBT122" s="69"/>
      <c r="UBU122" s="69"/>
      <c r="UBV122" s="69"/>
      <c r="UBW122" s="69"/>
      <c r="UBX122" s="69"/>
      <c r="UBY122" s="69"/>
      <c r="UBZ122" s="69"/>
      <c r="UCA122" s="69"/>
      <c r="UCB122" s="69"/>
      <c r="UCC122" s="69"/>
      <c r="UCD122" s="69"/>
      <c r="UCE122" s="69"/>
      <c r="UCF122" s="69"/>
      <c r="UCG122" s="69"/>
      <c r="UCH122" s="69"/>
      <c r="UCI122" s="69"/>
      <c r="UCJ122" s="69"/>
      <c r="UCK122" s="69"/>
      <c r="UCL122" s="69"/>
      <c r="UCM122" s="69"/>
      <c r="UCN122" s="69"/>
      <c r="UCO122" s="69"/>
      <c r="UCP122" s="69"/>
      <c r="UCQ122" s="69"/>
      <c r="UCR122" s="69"/>
      <c r="UCS122" s="69"/>
      <c r="UCT122" s="69"/>
      <c r="UCU122" s="69"/>
      <c r="UCV122" s="69"/>
      <c r="UCW122" s="69"/>
      <c r="UCX122" s="69"/>
      <c r="UCY122" s="69"/>
      <c r="UCZ122" s="69"/>
      <c r="UDA122" s="69"/>
      <c r="UDB122" s="69"/>
      <c r="UDC122" s="69"/>
      <c r="UDD122" s="69"/>
      <c r="UDE122" s="69"/>
      <c r="UDF122" s="69"/>
      <c r="UDG122" s="69"/>
      <c r="UDH122" s="69"/>
      <c r="UDI122" s="69"/>
      <c r="UDJ122" s="69"/>
      <c r="UDK122" s="69"/>
      <c r="UDL122" s="69"/>
      <c r="UDM122" s="69"/>
      <c r="UDN122" s="69"/>
      <c r="UDO122" s="69"/>
      <c r="UDP122" s="69"/>
      <c r="UDQ122" s="69"/>
      <c r="UDR122" s="69"/>
      <c r="UDS122" s="69"/>
      <c r="UDT122" s="69"/>
      <c r="UDU122" s="69"/>
      <c r="UDV122" s="69"/>
      <c r="UDW122" s="69"/>
      <c r="UDX122" s="69"/>
      <c r="UDY122" s="69"/>
      <c r="UDZ122" s="69"/>
      <c r="UEA122" s="69"/>
      <c r="UEB122" s="69"/>
      <c r="UEC122" s="69"/>
      <c r="UED122" s="69"/>
      <c r="UEE122" s="69"/>
      <c r="UEF122" s="69"/>
      <c r="UEG122" s="69"/>
      <c r="UEH122" s="69"/>
      <c r="UEI122" s="69"/>
      <c r="UEJ122" s="69"/>
      <c r="UEK122" s="69"/>
      <c r="UEL122" s="69"/>
      <c r="UEM122" s="69"/>
      <c r="UEN122" s="69"/>
      <c r="UEO122" s="69"/>
      <c r="UEP122" s="69"/>
      <c r="UEQ122" s="69"/>
      <c r="UER122" s="69"/>
      <c r="UES122" s="69"/>
      <c r="UET122" s="69"/>
      <c r="UEU122" s="69"/>
      <c r="UEV122" s="69"/>
      <c r="UEW122" s="69"/>
      <c r="UEX122" s="69"/>
      <c r="UEY122" s="69"/>
      <c r="UEZ122" s="69"/>
      <c r="UFA122" s="69"/>
      <c r="UFB122" s="69"/>
      <c r="UFC122" s="69"/>
      <c r="UFD122" s="69"/>
      <c r="UFE122" s="69"/>
      <c r="UFF122" s="69"/>
      <c r="UFG122" s="69"/>
      <c r="UFH122" s="69"/>
      <c r="UFI122" s="69"/>
      <c r="UFJ122" s="69"/>
      <c r="UFK122" s="69"/>
      <c r="UFL122" s="69"/>
      <c r="UFM122" s="69"/>
      <c r="UFN122" s="69"/>
      <c r="UFO122" s="69"/>
      <c r="UFP122" s="69"/>
      <c r="UFQ122" s="69"/>
      <c r="UFR122" s="69"/>
      <c r="UFS122" s="69"/>
      <c r="UFT122" s="69"/>
      <c r="UFU122" s="69"/>
      <c r="UFV122" s="69"/>
      <c r="UFW122" s="69"/>
      <c r="UFX122" s="69"/>
      <c r="UFY122" s="69"/>
      <c r="UFZ122" s="69"/>
      <c r="UGA122" s="69"/>
      <c r="UGB122" s="69"/>
      <c r="UGC122" s="69"/>
      <c r="UGD122" s="69"/>
      <c r="UGE122" s="69"/>
      <c r="UGF122" s="69"/>
      <c r="UGG122" s="69"/>
      <c r="UGH122" s="69"/>
      <c r="UGI122" s="69"/>
      <c r="UGJ122" s="69"/>
      <c r="UGK122" s="69"/>
      <c r="UGL122" s="69"/>
      <c r="UGM122" s="69"/>
      <c r="UGN122" s="69"/>
      <c r="UGO122" s="69"/>
      <c r="UGP122" s="69"/>
      <c r="UGQ122" s="69"/>
      <c r="UGR122" s="69"/>
      <c r="UGS122" s="69"/>
      <c r="UGT122" s="69"/>
      <c r="UGU122" s="69"/>
      <c r="UGV122" s="69"/>
      <c r="UGW122" s="69"/>
      <c r="UGX122" s="69"/>
      <c r="UGY122" s="69"/>
      <c r="UGZ122" s="69"/>
      <c r="UHA122" s="69"/>
      <c r="UHB122" s="69"/>
      <c r="UHC122" s="69"/>
      <c r="UHD122" s="69"/>
      <c r="UHE122" s="69"/>
      <c r="UHF122" s="69"/>
      <c r="UHG122" s="69"/>
      <c r="UHH122" s="69"/>
      <c r="UHI122" s="69"/>
      <c r="UHJ122" s="69"/>
      <c r="UHK122" s="69"/>
      <c r="UHL122" s="69"/>
      <c r="UHM122" s="69"/>
      <c r="UHN122" s="69"/>
      <c r="UHO122" s="69"/>
      <c r="UHP122" s="69"/>
      <c r="UHQ122" s="69"/>
      <c r="UHR122" s="69"/>
      <c r="UHS122" s="69"/>
      <c r="UHT122" s="69"/>
      <c r="UHU122" s="69"/>
      <c r="UHV122" s="69"/>
      <c r="UHW122" s="69"/>
      <c r="UHX122" s="69"/>
      <c r="UHY122" s="69"/>
      <c r="UHZ122" s="69"/>
      <c r="UIA122" s="69"/>
      <c r="UIB122" s="69"/>
      <c r="UIC122" s="69"/>
      <c r="UID122" s="69"/>
      <c r="UIE122" s="69"/>
      <c r="UIF122" s="69"/>
      <c r="UIG122" s="69"/>
      <c r="UIH122" s="69"/>
      <c r="UII122" s="69"/>
      <c r="UIJ122" s="69"/>
      <c r="UIK122" s="69"/>
      <c r="UIL122" s="69"/>
      <c r="UIM122" s="69"/>
      <c r="UIN122" s="69"/>
      <c r="UIO122" s="69"/>
      <c r="UIP122" s="69"/>
      <c r="UIQ122" s="69"/>
      <c r="UIR122" s="69"/>
      <c r="UIS122" s="69"/>
      <c r="UIT122" s="69"/>
      <c r="UIU122" s="69"/>
      <c r="UIV122" s="69"/>
      <c r="UIW122" s="69"/>
      <c r="UIX122" s="69"/>
      <c r="UIY122" s="69"/>
      <c r="UIZ122" s="69"/>
      <c r="UJA122" s="69"/>
      <c r="UJB122" s="69"/>
      <c r="UJC122" s="69"/>
      <c r="UJD122" s="69"/>
      <c r="UJE122" s="69"/>
      <c r="UJF122" s="69"/>
      <c r="UJG122" s="69"/>
      <c r="UJH122" s="69"/>
      <c r="UJI122" s="69"/>
      <c r="UJJ122" s="69"/>
      <c r="UJK122" s="69"/>
      <c r="UJL122" s="69"/>
      <c r="UJM122" s="69"/>
      <c r="UJN122" s="69"/>
      <c r="UJO122" s="69"/>
      <c r="UJP122" s="69"/>
      <c r="UJQ122" s="69"/>
      <c r="UJR122" s="69"/>
      <c r="UJS122" s="69"/>
      <c r="UJT122" s="69"/>
      <c r="UJU122" s="69"/>
      <c r="UJV122" s="69"/>
      <c r="UJW122" s="69"/>
      <c r="UJX122" s="69"/>
      <c r="UJY122" s="69"/>
      <c r="UJZ122" s="69"/>
      <c r="UKA122" s="69"/>
      <c r="UKB122" s="69"/>
      <c r="UKC122" s="69"/>
      <c r="UKD122" s="69"/>
      <c r="UKE122" s="69"/>
      <c r="UKF122" s="69"/>
      <c r="UKG122" s="69"/>
      <c r="UKH122" s="69"/>
      <c r="UKI122" s="69"/>
      <c r="UKJ122" s="69"/>
      <c r="UKK122" s="69"/>
      <c r="UKL122" s="69"/>
      <c r="UKM122" s="69"/>
      <c r="UKN122" s="69"/>
      <c r="UKO122" s="69"/>
      <c r="UKP122" s="69"/>
      <c r="UKQ122" s="69"/>
      <c r="UKR122" s="69"/>
      <c r="UKS122" s="69"/>
      <c r="UKT122" s="69"/>
      <c r="UKU122" s="69"/>
      <c r="UKV122" s="69"/>
      <c r="UKW122" s="69"/>
      <c r="UKX122" s="69"/>
      <c r="UKY122" s="69"/>
      <c r="UKZ122" s="69"/>
      <c r="ULA122" s="69"/>
      <c r="ULB122" s="69"/>
      <c r="ULC122" s="69"/>
      <c r="ULD122" s="69"/>
      <c r="ULE122" s="69"/>
      <c r="ULF122" s="69"/>
      <c r="ULG122" s="69"/>
      <c r="ULH122" s="69"/>
      <c r="ULI122" s="69"/>
      <c r="ULJ122" s="69"/>
      <c r="ULK122" s="69"/>
      <c r="ULL122" s="69"/>
      <c r="ULM122" s="69"/>
      <c r="ULN122" s="69"/>
      <c r="ULO122" s="69"/>
      <c r="ULP122" s="69"/>
      <c r="ULQ122" s="69"/>
      <c r="ULR122" s="69"/>
      <c r="ULS122" s="69"/>
      <c r="ULT122" s="69"/>
      <c r="ULU122" s="69"/>
      <c r="ULV122" s="69"/>
      <c r="ULW122" s="69"/>
      <c r="ULX122" s="69"/>
      <c r="ULY122" s="69"/>
      <c r="ULZ122" s="69"/>
      <c r="UMA122" s="69"/>
      <c r="UMB122" s="69"/>
      <c r="UMC122" s="69"/>
      <c r="UMD122" s="69"/>
      <c r="UME122" s="69"/>
      <c r="UMF122" s="69"/>
      <c r="UMG122" s="69"/>
      <c r="UMH122" s="69"/>
      <c r="UMI122" s="69"/>
      <c r="UMJ122" s="69"/>
      <c r="UMK122" s="69"/>
      <c r="UML122" s="69"/>
      <c r="UMM122" s="69"/>
      <c r="UMN122" s="69"/>
      <c r="UMO122" s="69"/>
      <c r="UMP122" s="69"/>
      <c r="UMQ122" s="69"/>
      <c r="UMR122" s="69"/>
      <c r="UMS122" s="69"/>
      <c r="UMT122" s="69"/>
      <c r="UMU122" s="69"/>
      <c r="UMV122" s="69"/>
      <c r="UMW122" s="69"/>
      <c r="UMX122" s="69"/>
      <c r="UMY122" s="69"/>
      <c r="UMZ122" s="69"/>
      <c r="UNA122" s="69"/>
      <c r="UNB122" s="69"/>
      <c r="UNC122" s="69"/>
      <c r="UND122" s="69"/>
      <c r="UNE122" s="69"/>
      <c r="UNF122" s="69"/>
      <c r="UNG122" s="69"/>
      <c r="UNH122" s="69"/>
      <c r="UNI122" s="69"/>
      <c r="UNJ122" s="69"/>
      <c r="UNK122" s="69"/>
      <c r="UNL122" s="69"/>
      <c r="UNM122" s="69"/>
      <c r="UNN122" s="69"/>
      <c r="UNO122" s="69"/>
      <c r="UNP122" s="69"/>
      <c r="UNQ122" s="69"/>
      <c r="UNR122" s="69"/>
      <c r="UNS122" s="69"/>
      <c r="UNT122" s="69"/>
      <c r="UNU122" s="69"/>
      <c r="UNV122" s="69"/>
      <c r="UNW122" s="69"/>
      <c r="UNX122" s="69"/>
      <c r="UNY122" s="69"/>
      <c r="UNZ122" s="69"/>
      <c r="UOA122" s="69"/>
      <c r="UOB122" s="69"/>
      <c r="UOC122" s="69"/>
      <c r="UOD122" s="69"/>
      <c r="UOE122" s="69"/>
      <c r="UOF122" s="69"/>
      <c r="UOG122" s="69"/>
      <c r="UOH122" s="69"/>
      <c r="UOI122" s="69"/>
      <c r="UOJ122" s="69"/>
      <c r="UOK122" s="69"/>
      <c r="UOL122" s="69"/>
      <c r="UOM122" s="69"/>
      <c r="UON122" s="69"/>
      <c r="UOO122" s="69"/>
      <c r="UOP122" s="69"/>
      <c r="UOQ122" s="69"/>
      <c r="UOR122" s="69"/>
      <c r="UOS122" s="69"/>
      <c r="UOT122" s="69"/>
      <c r="UOU122" s="69"/>
      <c r="UOV122" s="69"/>
      <c r="UOW122" s="69"/>
      <c r="UOX122" s="69"/>
      <c r="UOY122" s="69"/>
      <c r="UOZ122" s="69"/>
      <c r="UPA122" s="69"/>
      <c r="UPB122" s="69"/>
      <c r="UPC122" s="69"/>
      <c r="UPD122" s="69"/>
      <c r="UPE122" s="69"/>
      <c r="UPF122" s="69"/>
      <c r="UPG122" s="69"/>
      <c r="UPH122" s="69"/>
      <c r="UPI122" s="69"/>
      <c r="UPJ122" s="69"/>
      <c r="UPK122" s="69"/>
      <c r="UPL122" s="69"/>
      <c r="UPM122" s="69"/>
      <c r="UPN122" s="69"/>
      <c r="UPO122" s="69"/>
      <c r="UPP122" s="69"/>
      <c r="UPQ122" s="69"/>
      <c r="UPR122" s="69"/>
      <c r="UPS122" s="69"/>
      <c r="UPT122" s="69"/>
      <c r="UPU122" s="69"/>
      <c r="UPV122" s="69"/>
      <c r="UPW122" s="69"/>
      <c r="UPX122" s="69"/>
      <c r="UPY122" s="69"/>
      <c r="UPZ122" s="69"/>
      <c r="UQA122" s="69"/>
      <c r="UQB122" s="69"/>
      <c r="UQC122" s="69"/>
      <c r="UQD122" s="69"/>
      <c r="UQE122" s="69"/>
      <c r="UQF122" s="69"/>
      <c r="UQG122" s="69"/>
      <c r="UQH122" s="69"/>
      <c r="UQI122" s="69"/>
      <c r="UQJ122" s="69"/>
      <c r="UQK122" s="69"/>
      <c r="UQL122" s="69"/>
      <c r="UQM122" s="69"/>
      <c r="UQN122" s="69"/>
      <c r="UQO122" s="69"/>
      <c r="UQP122" s="69"/>
      <c r="UQQ122" s="69"/>
      <c r="UQR122" s="69"/>
      <c r="UQS122" s="69"/>
      <c r="UQT122" s="69"/>
      <c r="UQU122" s="69"/>
      <c r="UQV122" s="69"/>
      <c r="UQW122" s="69"/>
      <c r="UQX122" s="69"/>
      <c r="UQY122" s="69"/>
      <c r="UQZ122" s="69"/>
      <c r="URA122" s="69"/>
      <c r="URB122" s="69"/>
      <c r="URC122" s="69"/>
      <c r="URD122" s="69"/>
      <c r="URE122" s="69"/>
      <c r="URF122" s="69"/>
      <c r="URG122" s="69"/>
      <c r="URH122" s="69"/>
      <c r="URI122" s="69"/>
      <c r="URJ122" s="69"/>
      <c r="URK122" s="69"/>
      <c r="URL122" s="69"/>
      <c r="URM122" s="69"/>
      <c r="URN122" s="69"/>
      <c r="URO122" s="69"/>
      <c r="URP122" s="69"/>
      <c r="URQ122" s="69"/>
      <c r="URR122" s="69"/>
      <c r="URS122" s="69"/>
      <c r="URT122" s="69"/>
      <c r="URU122" s="69"/>
      <c r="URV122" s="69"/>
      <c r="URW122" s="69"/>
      <c r="URX122" s="69"/>
      <c r="URY122" s="69"/>
      <c r="URZ122" s="69"/>
      <c r="USA122" s="69"/>
      <c r="USB122" s="69"/>
      <c r="USC122" s="69"/>
      <c r="USD122" s="69"/>
      <c r="USE122" s="69"/>
      <c r="USF122" s="69"/>
      <c r="USG122" s="69"/>
      <c r="USH122" s="69"/>
      <c r="USI122" s="69"/>
      <c r="USJ122" s="69"/>
      <c r="USK122" s="69"/>
      <c r="USL122" s="69"/>
      <c r="USM122" s="69"/>
      <c r="USN122" s="69"/>
      <c r="USO122" s="69"/>
      <c r="USP122" s="69"/>
      <c r="USQ122" s="69"/>
      <c r="USR122" s="69"/>
      <c r="USS122" s="69"/>
      <c r="UST122" s="69"/>
      <c r="USU122" s="69"/>
      <c r="USV122" s="69"/>
      <c r="USW122" s="69"/>
      <c r="USX122" s="69"/>
      <c r="USY122" s="69"/>
      <c r="USZ122" s="69"/>
      <c r="UTA122" s="69"/>
      <c r="UTB122" s="69"/>
      <c r="UTC122" s="69"/>
      <c r="UTD122" s="69"/>
      <c r="UTE122" s="69"/>
      <c r="UTF122" s="69"/>
      <c r="UTG122" s="69"/>
      <c r="UTH122" s="69"/>
      <c r="UTI122" s="69"/>
      <c r="UTJ122" s="69"/>
      <c r="UTK122" s="69"/>
      <c r="UTL122" s="69"/>
      <c r="UTM122" s="69"/>
      <c r="UTN122" s="69"/>
      <c r="UTO122" s="69"/>
      <c r="UTP122" s="69"/>
      <c r="UTQ122" s="69"/>
      <c r="UTR122" s="69"/>
      <c r="UTS122" s="69"/>
      <c r="UTT122" s="69"/>
      <c r="UTU122" s="69"/>
      <c r="UTV122" s="69"/>
      <c r="UTW122" s="69"/>
      <c r="UTX122" s="69"/>
      <c r="UTY122" s="69"/>
      <c r="UTZ122" s="69"/>
      <c r="UUA122" s="69"/>
      <c r="UUB122" s="69"/>
      <c r="UUC122" s="69"/>
      <c r="UUD122" s="69"/>
      <c r="UUE122" s="69"/>
      <c r="UUF122" s="69"/>
      <c r="UUG122" s="69"/>
      <c r="UUH122" s="69"/>
      <c r="UUI122" s="69"/>
      <c r="UUJ122" s="69"/>
      <c r="UUK122" s="69"/>
      <c r="UUL122" s="69"/>
      <c r="UUM122" s="69"/>
      <c r="UUN122" s="69"/>
      <c r="UUO122" s="69"/>
      <c r="UUP122" s="69"/>
      <c r="UUQ122" s="69"/>
      <c r="UUR122" s="69"/>
      <c r="UUS122" s="69"/>
      <c r="UUT122" s="69"/>
      <c r="UUU122" s="69"/>
      <c r="UUV122" s="69"/>
      <c r="UUW122" s="69"/>
      <c r="UUX122" s="69"/>
      <c r="UUY122" s="69"/>
      <c r="UUZ122" s="69"/>
      <c r="UVA122" s="69"/>
      <c r="UVB122" s="69"/>
      <c r="UVC122" s="69"/>
      <c r="UVD122" s="69"/>
      <c r="UVE122" s="69"/>
      <c r="UVF122" s="69"/>
      <c r="UVG122" s="69"/>
      <c r="UVH122" s="69"/>
      <c r="UVI122" s="69"/>
      <c r="UVJ122" s="69"/>
      <c r="UVK122" s="69"/>
      <c r="UVL122" s="69"/>
      <c r="UVM122" s="69"/>
      <c r="UVN122" s="69"/>
      <c r="UVO122" s="69"/>
      <c r="UVP122" s="69"/>
      <c r="UVQ122" s="69"/>
      <c r="UVR122" s="69"/>
      <c r="UVS122" s="69"/>
      <c r="UVT122" s="69"/>
      <c r="UVU122" s="69"/>
      <c r="UVV122" s="69"/>
      <c r="UVW122" s="69"/>
      <c r="UVX122" s="69"/>
      <c r="UVY122" s="69"/>
      <c r="UVZ122" s="69"/>
      <c r="UWA122" s="69"/>
      <c r="UWB122" s="69"/>
      <c r="UWC122" s="69"/>
      <c r="UWD122" s="69"/>
      <c r="UWE122" s="69"/>
      <c r="UWF122" s="69"/>
      <c r="UWG122" s="69"/>
      <c r="UWH122" s="69"/>
      <c r="UWI122" s="69"/>
      <c r="UWJ122" s="69"/>
      <c r="UWK122" s="69"/>
      <c r="UWL122" s="69"/>
      <c r="UWM122" s="69"/>
      <c r="UWN122" s="69"/>
      <c r="UWO122" s="69"/>
      <c r="UWP122" s="69"/>
      <c r="UWQ122" s="69"/>
      <c r="UWR122" s="69"/>
      <c r="UWS122" s="69"/>
      <c r="UWT122" s="69"/>
      <c r="UWU122" s="69"/>
      <c r="UWV122" s="69"/>
      <c r="UWW122" s="69"/>
      <c r="UWX122" s="69"/>
      <c r="UWY122" s="69"/>
      <c r="UWZ122" s="69"/>
      <c r="UXA122" s="69"/>
      <c r="UXB122" s="69"/>
      <c r="UXC122" s="69"/>
      <c r="UXD122" s="69"/>
      <c r="UXE122" s="69"/>
      <c r="UXF122" s="69"/>
      <c r="UXG122" s="69"/>
      <c r="UXH122" s="69"/>
      <c r="UXI122" s="69"/>
      <c r="UXJ122" s="69"/>
      <c r="UXK122" s="69"/>
      <c r="UXL122" s="69"/>
      <c r="UXM122" s="69"/>
      <c r="UXN122" s="69"/>
      <c r="UXO122" s="69"/>
      <c r="UXP122" s="69"/>
      <c r="UXQ122" s="69"/>
      <c r="UXR122" s="69"/>
      <c r="UXS122" s="69"/>
      <c r="UXT122" s="69"/>
      <c r="UXU122" s="69"/>
      <c r="UXV122" s="69"/>
      <c r="UXW122" s="69"/>
      <c r="UXX122" s="69"/>
      <c r="UXY122" s="69"/>
      <c r="UXZ122" s="69"/>
      <c r="UYA122" s="69"/>
      <c r="UYB122" s="69"/>
      <c r="UYC122" s="69"/>
      <c r="UYD122" s="69"/>
      <c r="UYE122" s="69"/>
      <c r="UYF122" s="69"/>
      <c r="UYG122" s="69"/>
      <c r="UYH122" s="69"/>
      <c r="UYI122" s="69"/>
      <c r="UYJ122" s="69"/>
      <c r="UYK122" s="69"/>
      <c r="UYL122" s="69"/>
      <c r="UYM122" s="69"/>
      <c r="UYN122" s="69"/>
      <c r="UYO122" s="69"/>
      <c r="UYP122" s="69"/>
      <c r="UYQ122" s="69"/>
      <c r="UYR122" s="69"/>
      <c r="UYS122" s="69"/>
      <c r="UYT122" s="69"/>
      <c r="UYU122" s="69"/>
      <c r="UYV122" s="69"/>
      <c r="UYW122" s="69"/>
      <c r="UYX122" s="69"/>
      <c r="UYY122" s="69"/>
      <c r="UYZ122" s="69"/>
      <c r="UZA122" s="69"/>
      <c r="UZB122" s="69"/>
      <c r="UZC122" s="69"/>
      <c r="UZD122" s="69"/>
      <c r="UZE122" s="69"/>
      <c r="UZF122" s="69"/>
      <c r="UZG122" s="69"/>
      <c r="UZH122" s="69"/>
      <c r="UZI122" s="69"/>
      <c r="UZJ122" s="69"/>
      <c r="UZK122" s="69"/>
      <c r="UZL122" s="69"/>
      <c r="UZM122" s="69"/>
      <c r="UZN122" s="69"/>
      <c r="UZO122" s="69"/>
      <c r="UZP122" s="69"/>
      <c r="UZQ122" s="69"/>
      <c r="UZR122" s="69"/>
      <c r="UZS122" s="69"/>
      <c r="UZT122" s="69"/>
      <c r="UZU122" s="69"/>
      <c r="UZV122" s="69"/>
      <c r="UZW122" s="69"/>
      <c r="UZX122" s="69"/>
      <c r="UZY122" s="69"/>
      <c r="UZZ122" s="69"/>
      <c r="VAA122" s="69"/>
      <c r="VAB122" s="69"/>
      <c r="VAC122" s="69"/>
      <c r="VAD122" s="69"/>
      <c r="VAE122" s="69"/>
      <c r="VAF122" s="69"/>
      <c r="VAG122" s="69"/>
      <c r="VAH122" s="69"/>
      <c r="VAI122" s="69"/>
      <c r="VAJ122" s="69"/>
      <c r="VAK122" s="69"/>
      <c r="VAL122" s="69"/>
      <c r="VAM122" s="69"/>
      <c r="VAN122" s="69"/>
      <c r="VAO122" s="69"/>
      <c r="VAP122" s="69"/>
      <c r="VAQ122" s="69"/>
      <c r="VAR122" s="69"/>
      <c r="VAS122" s="69"/>
      <c r="VAT122" s="69"/>
      <c r="VAU122" s="69"/>
      <c r="VAV122" s="69"/>
      <c r="VAW122" s="69"/>
      <c r="VAX122" s="69"/>
      <c r="VAY122" s="69"/>
      <c r="VAZ122" s="69"/>
      <c r="VBA122" s="69"/>
      <c r="VBB122" s="69"/>
      <c r="VBC122" s="69"/>
      <c r="VBD122" s="69"/>
      <c r="VBE122" s="69"/>
      <c r="VBF122" s="69"/>
      <c r="VBG122" s="69"/>
      <c r="VBH122" s="69"/>
      <c r="VBI122" s="69"/>
      <c r="VBJ122" s="69"/>
      <c r="VBK122" s="69"/>
      <c r="VBL122" s="69"/>
      <c r="VBM122" s="69"/>
      <c r="VBN122" s="69"/>
      <c r="VBO122" s="69"/>
      <c r="VBP122" s="69"/>
      <c r="VBQ122" s="69"/>
      <c r="VBR122" s="69"/>
      <c r="VBS122" s="69"/>
      <c r="VBT122" s="69"/>
      <c r="VBU122" s="69"/>
      <c r="VBV122" s="69"/>
      <c r="VBW122" s="69"/>
      <c r="VBX122" s="69"/>
      <c r="VBY122" s="69"/>
      <c r="VBZ122" s="69"/>
      <c r="VCA122" s="69"/>
      <c r="VCB122" s="69"/>
      <c r="VCC122" s="69"/>
      <c r="VCD122" s="69"/>
      <c r="VCE122" s="69"/>
      <c r="VCF122" s="69"/>
      <c r="VCG122" s="69"/>
      <c r="VCH122" s="69"/>
      <c r="VCI122" s="69"/>
      <c r="VCJ122" s="69"/>
      <c r="VCK122" s="69"/>
      <c r="VCL122" s="69"/>
      <c r="VCM122" s="69"/>
      <c r="VCN122" s="69"/>
      <c r="VCO122" s="69"/>
      <c r="VCP122" s="69"/>
      <c r="VCQ122" s="69"/>
      <c r="VCR122" s="69"/>
      <c r="VCS122" s="69"/>
      <c r="VCT122" s="69"/>
      <c r="VCU122" s="69"/>
      <c r="VCV122" s="69"/>
      <c r="VCW122" s="69"/>
      <c r="VCX122" s="69"/>
      <c r="VCY122" s="69"/>
      <c r="VCZ122" s="69"/>
      <c r="VDA122" s="69"/>
      <c r="VDB122" s="69"/>
      <c r="VDC122" s="69"/>
      <c r="VDD122" s="69"/>
      <c r="VDE122" s="69"/>
      <c r="VDF122" s="69"/>
      <c r="VDG122" s="69"/>
      <c r="VDH122" s="69"/>
      <c r="VDI122" s="69"/>
      <c r="VDJ122" s="69"/>
      <c r="VDK122" s="69"/>
      <c r="VDL122" s="69"/>
      <c r="VDM122" s="69"/>
      <c r="VDN122" s="69"/>
      <c r="VDO122" s="69"/>
      <c r="VDP122" s="69"/>
      <c r="VDQ122" s="69"/>
      <c r="VDR122" s="69"/>
      <c r="VDS122" s="69"/>
      <c r="VDT122" s="69"/>
      <c r="VDU122" s="69"/>
      <c r="VDV122" s="69"/>
      <c r="VDW122" s="69"/>
      <c r="VDX122" s="69"/>
      <c r="VDY122" s="69"/>
      <c r="VDZ122" s="69"/>
      <c r="VEA122" s="69"/>
      <c r="VEB122" s="69"/>
      <c r="VEC122" s="69"/>
      <c r="VED122" s="69"/>
      <c r="VEE122" s="69"/>
      <c r="VEF122" s="69"/>
      <c r="VEG122" s="69"/>
      <c r="VEH122" s="69"/>
      <c r="VEI122" s="69"/>
      <c r="VEJ122" s="69"/>
      <c r="VEK122" s="69"/>
      <c r="VEL122" s="69"/>
      <c r="VEM122" s="69"/>
      <c r="VEN122" s="69"/>
      <c r="VEO122" s="69"/>
      <c r="VEP122" s="69"/>
      <c r="VEQ122" s="69"/>
      <c r="VER122" s="69"/>
      <c r="VES122" s="69"/>
      <c r="VET122" s="69"/>
      <c r="VEU122" s="69"/>
      <c r="VEV122" s="69"/>
      <c r="VEW122" s="69"/>
      <c r="VEX122" s="69"/>
      <c r="VEY122" s="69"/>
      <c r="VEZ122" s="69"/>
      <c r="VFA122" s="69"/>
      <c r="VFB122" s="69"/>
      <c r="VFC122" s="69"/>
      <c r="VFD122" s="69"/>
      <c r="VFE122" s="69"/>
      <c r="VFF122" s="69"/>
      <c r="VFG122" s="69"/>
      <c r="VFH122" s="69"/>
      <c r="VFI122" s="69"/>
      <c r="VFJ122" s="69"/>
      <c r="VFK122" s="69"/>
      <c r="VFL122" s="69"/>
      <c r="VFM122" s="69"/>
      <c r="VFN122" s="69"/>
      <c r="VFO122" s="69"/>
      <c r="VFP122" s="69"/>
      <c r="VFQ122" s="69"/>
      <c r="VFR122" s="69"/>
      <c r="VFS122" s="69"/>
      <c r="VFT122" s="69"/>
      <c r="VFU122" s="69"/>
      <c r="VFV122" s="69"/>
      <c r="VFW122" s="69"/>
      <c r="VFX122" s="69"/>
      <c r="VFY122" s="69"/>
      <c r="VFZ122" s="69"/>
      <c r="VGA122" s="69"/>
      <c r="VGB122" s="69"/>
      <c r="VGC122" s="69"/>
      <c r="VGD122" s="69"/>
      <c r="VGE122" s="69"/>
      <c r="VGF122" s="69"/>
      <c r="VGG122" s="69"/>
      <c r="VGH122" s="69"/>
      <c r="VGI122" s="69"/>
      <c r="VGJ122" s="69"/>
      <c r="VGK122" s="69"/>
      <c r="VGL122" s="69"/>
      <c r="VGM122" s="69"/>
      <c r="VGN122" s="69"/>
      <c r="VGO122" s="69"/>
      <c r="VGP122" s="69"/>
      <c r="VGQ122" s="69"/>
      <c r="VGR122" s="69"/>
      <c r="VGS122" s="69"/>
      <c r="VGT122" s="69"/>
      <c r="VGU122" s="69"/>
      <c r="VGV122" s="69"/>
      <c r="VGW122" s="69"/>
      <c r="VGX122" s="69"/>
      <c r="VGY122" s="69"/>
      <c r="VGZ122" s="69"/>
      <c r="VHA122" s="69"/>
      <c r="VHB122" s="69"/>
      <c r="VHC122" s="69"/>
      <c r="VHD122" s="69"/>
      <c r="VHE122" s="69"/>
      <c r="VHF122" s="69"/>
      <c r="VHG122" s="69"/>
      <c r="VHH122" s="69"/>
      <c r="VHI122" s="69"/>
      <c r="VHJ122" s="69"/>
      <c r="VHK122" s="69"/>
      <c r="VHL122" s="69"/>
      <c r="VHM122" s="69"/>
      <c r="VHN122" s="69"/>
      <c r="VHO122" s="69"/>
      <c r="VHP122" s="69"/>
      <c r="VHQ122" s="69"/>
      <c r="VHR122" s="69"/>
      <c r="VHS122" s="69"/>
      <c r="VHT122" s="69"/>
      <c r="VHU122" s="69"/>
      <c r="VHV122" s="69"/>
      <c r="VHW122" s="69"/>
      <c r="VHX122" s="69"/>
      <c r="VHY122" s="69"/>
      <c r="VHZ122" s="69"/>
      <c r="VIA122" s="69"/>
      <c r="VIB122" s="69"/>
      <c r="VIC122" s="69"/>
      <c r="VID122" s="69"/>
      <c r="VIE122" s="69"/>
      <c r="VIF122" s="69"/>
      <c r="VIG122" s="69"/>
      <c r="VIH122" s="69"/>
      <c r="VII122" s="69"/>
      <c r="VIJ122" s="69"/>
      <c r="VIK122" s="69"/>
      <c r="VIL122" s="69"/>
      <c r="VIM122" s="69"/>
      <c r="VIN122" s="69"/>
      <c r="VIO122" s="69"/>
      <c r="VIP122" s="69"/>
      <c r="VIQ122" s="69"/>
      <c r="VIR122" s="69"/>
      <c r="VIS122" s="69"/>
      <c r="VIT122" s="69"/>
      <c r="VIU122" s="69"/>
      <c r="VIV122" s="69"/>
      <c r="VIW122" s="69"/>
      <c r="VIX122" s="69"/>
      <c r="VIY122" s="69"/>
      <c r="VIZ122" s="69"/>
      <c r="VJA122" s="69"/>
      <c r="VJB122" s="69"/>
      <c r="VJC122" s="69"/>
      <c r="VJD122" s="69"/>
      <c r="VJE122" s="69"/>
      <c r="VJF122" s="69"/>
      <c r="VJG122" s="69"/>
      <c r="VJH122" s="69"/>
      <c r="VJI122" s="69"/>
      <c r="VJJ122" s="69"/>
      <c r="VJK122" s="69"/>
      <c r="VJL122" s="69"/>
      <c r="VJM122" s="69"/>
      <c r="VJN122" s="69"/>
      <c r="VJO122" s="69"/>
      <c r="VJP122" s="69"/>
      <c r="VJQ122" s="69"/>
      <c r="VJR122" s="69"/>
      <c r="VJS122" s="69"/>
      <c r="VJT122" s="69"/>
      <c r="VJU122" s="69"/>
      <c r="VJV122" s="69"/>
      <c r="VJW122" s="69"/>
      <c r="VJX122" s="69"/>
      <c r="VJY122" s="69"/>
      <c r="VJZ122" s="69"/>
      <c r="VKA122" s="69"/>
      <c r="VKB122" s="69"/>
      <c r="VKC122" s="69"/>
      <c r="VKD122" s="69"/>
      <c r="VKE122" s="69"/>
      <c r="VKF122" s="69"/>
      <c r="VKG122" s="69"/>
      <c r="VKH122" s="69"/>
      <c r="VKI122" s="69"/>
      <c r="VKJ122" s="69"/>
      <c r="VKK122" s="69"/>
      <c r="VKL122" s="69"/>
      <c r="VKM122" s="69"/>
      <c r="VKN122" s="69"/>
      <c r="VKO122" s="69"/>
      <c r="VKP122" s="69"/>
      <c r="VKQ122" s="69"/>
      <c r="VKR122" s="69"/>
      <c r="VKS122" s="69"/>
      <c r="VKT122" s="69"/>
      <c r="VKU122" s="69"/>
      <c r="VKV122" s="69"/>
      <c r="VKW122" s="69"/>
      <c r="VKX122" s="69"/>
      <c r="VKY122" s="69"/>
      <c r="VKZ122" s="69"/>
      <c r="VLA122" s="69"/>
      <c r="VLB122" s="69"/>
      <c r="VLC122" s="69"/>
      <c r="VLD122" s="69"/>
      <c r="VLE122" s="69"/>
      <c r="VLF122" s="69"/>
      <c r="VLG122" s="69"/>
      <c r="VLH122" s="69"/>
      <c r="VLI122" s="69"/>
      <c r="VLJ122" s="69"/>
      <c r="VLK122" s="69"/>
      <c r="VLL122" s="69"/>
      <c r="VLM122" s="69"/>
      <c r="VLN122" s="69"/>
      <c r="VLO122" s="69"/>
      <c r="VLP122" s="69"/>
      <c r="VLQ122" s="69"/>
      <c r="VLR122" s="69"/>
      <c r="VLS122" s="69"/>
      <c r="VLT122" s="69"/>
      <c r="VLU122" s="69"/>
      <c r="VLV122" s="69"/>
      <c r="VLW122" s="69"/>
      <c r="VLX122" s="69"/>
      <c r="VLY122" s="69"/>
      <c r="VLZ122" s="69"/>
      <c r="VMA122" s="69"/>
      <c r="VMB122" s="69"/>
      <c r="VMC122" s="69"/>
      <c r="VMD122" s="69"/>
      <c r="VME122" s="69"/>
      <c r="VMF122" s="69"/>
      <c r="VMG122" s="69"/>
      <c r="VMH122" s="69"/>
      <c r="VMI122" s="69"/>
      <c r="VMJ122" s="69"/>
      <c r="VMK122" s="69"/>
      <c r="VML122" s="69"/>
      <c r="VMM122" s="69"/>
      <c r="VMN122" s="69"/>
      <c r="VMO122" s="69"/>
      <c r="VMP122" s="69"/>
      <c r="VMQ122" s="69"/>
      <c r="VMR122" s="69"/>
      <c r="VMS122" s="69"/>
      <c r="VMT122" s="69"/>
      <c r="VMU122" s="69"/>
      <c r="VMV122" s="69"/>
      <c r="VMW122" s="69"/>
      <c r="VMX122" s="69"/>
      <c r="VMY122" s="69"/>
      <c r="VMZ122" s="69"/>
      <c r="VNA122" s="69"/>
      <c r="VNB122" s="69"/>
      <c r="VNC122" s="69"/>
      <c r="VND122" s="69"/>
      <c r="VNE122" s="69"/>
      <c r="VNF122" s="69"/>
      <c r="VNG122" s="69"/>
      <c r="VNH122" s="69"/>
      <c r="VNI122" s="69"/>
      <c r="VNJ122" s="69"/>
      <c r="VNK122" s="69"/>
      <c r="VNL122" s="69"/>
      <c r="VNM122" s="69"/>
      <c r="VNN122" s="69"/>
      <c r="VNO122" s="69"/>
      <c r="VNP122" s="69"/>
      <c r="VNQ122" s="69"/>
      <c r="VNR122" s="69"/>
      <c r="VNS122" s="69"/>
      <c r="VNT122" s="69"/>
      <c r="VNU122" s="69"/>
      <c r="VNV122" s="69"/>
      <c r="VNW122" s="69"/>
      <c r="VNX122" s="69"/>
      <c r="VNY122" s="69"/>
      <c r="VNZ122" s="69"/>
      <c r="VOA122" s="69"/>
      <c r="VOB122" s="69"/>
      <c r="VOC122" s="69"/>
      <c r="VOD122" s="69"/>
      <c r="VOE122" s="69"/>
      <c r="VOF122" s="69"/>
      <c r="VOG122" s="69"/>
      <c r="VOH122" s="69"/>
      <c r="VOI122" s="69"/>
      <c r="VOJ122" s="69"/>
      <c r="VOK122" s="69"/>
      <c r="VOL122" s="69"/>
      <c r="VOM122" s="69"/>
      <c r="VON122" s="69"/>
      <c r="VOO122" s="69"/>
      <c r="VOP122" s="69"/>
      <c r="VOQ122" s="69"/>
      <c r="VOR122" s="69"/>
      <c r="VOS122" s="69"/>
      <c r="VOT122" s="69"/>
      <c r="VOU122" s="69"/>
      <c r="VOV122" s="69"/>
      <c r="VOW122" s="69"/>
      <c r="VOX122" s="69"/>
      <c r="VOY122" s="69"/>
      <c r="VOZ122" s="69"/>
      <c r="VPA122" s="69"/>
      <c r="VPB122" s="69"/>
      <c r="VPC122" s="69"/>
      <c r="VPD122" s="69"/>
      <c r="VPE122" s="69"/>
      <c r="VPF122" s="69"/>
      <c r="VPG122" s="69"/>
      <c r="VPH122" s="69"/>
      <c r="VPI122" s="69"/>
      <c r="VPJ122" s="69"/>
      <c r="VPK122" s="69"/>
      <c r="VPL122" s="69"/>
      <c r="VPM122" s="69"/>
      <c r="VPN122" s="69"/>
      <c r="VPO122" s="69"/>
      <c r="VPP122" s="69"/>
      <c r="VPQ122" s="69"/>
      <c r="VPR122" s="69"/>
      <c r="VPS122" s="69"/>
      <c r="VPT122" s="69"/>
      <c r="VPU122" s="69"/>
      <c r="VPV122" s="69"/>
      <c r="VPW122" s="69"/>
      <c r="VPX122" s="69"/>
      <c r="VPY122" s="69"/>
      <c r="VPZ122" s="69"/>
      <c r="VQA122" s="69"/>
      <c r="VQB122" s="69"/>
      <c r="VQC122" s="69"/>
      <c r="VQD122" s="69"/>
      <c r="VQE122" s="69"/>
      <c r="VQF122" s="69"/>
      <c r="VQG122" s="69"/>
      <c r="VQH122" s="69"/>
      <c r="VQI122" s="69"/>
      <c r="VQJ122" s="69"/>
      <c r="VQK122" s="69"/>
      <c r="VQL122" s="69"/>
      <c r="VQM122" s="69"/>
      <c r="VQN122" s="69"/>
      <c r="VQO122" s="69"/>
      <c r="VQP122" s="69"/>
      <c r="VQQ122" s="69"/>
      <c r="VQR122" s="69"/>
      <c r="VQS122" s="69"/>
      <c r="VQT122" s="69"/>
      <c r="VQU122" s="69"/>
      <c r="VQV122" s="69"/>
      <c r="VQW122" s="69"/>
      <c r="VQX122" s="69"/>
      <c r="VQY122" s="69"/>
      <c r="VQZ122" s="69"/>
      <c r="VRA122" s="69"/>
      <c r="VRB122" s="69"/>
      <c r="VRC122" s="69"/>
      <c r="VRD122" s="69"/>
      <c r="VRE122" s="69"/>
      <c r="VRF122" s="69"/>
      <c r="VRG122" s="69"/>
      <c r="VRH122" s="69"/>
      <c r="VRI122" s="69"/>
      <c r="VRJ122" s="69"/>
      <c r="VRK122" s="69"/>
      <c r="VRL122" s="69"/>
      <c r="VRM122" s="69"/>
      <c r="VRN122" s="69"/>
      <c r="VRO122" s="69"/>
      <c r="VRP122" s="69"/>
      <c r="VRQ122" s="69"/>
      <c r="VRR122" s="69"/>
      <c r="VRS122" s="69"/>
      <c r="VRT122" s="69"/>
      <c r="VRU122" s="69"/>
      <c r="VRV122" s="69"/>
      <c r="VRW122" s="69"/>
      <c r="VRX122" s="69"/>
      <c r="VRY122" s="69"/>
      <c r="VRZ122" s="69"/>
      <c r="VSA122" s="69"/>
      <c r="VSB122" s="69"/>
      <c r="VSC122" s="69"/>
      <c r="VSD122" s="69"/>
      <c r="VSE122" s="69"/>
      <c r="VSF122" s="69"/>
      <c r="VSG122" s="69"/>
      <c r="VSH122" s="69"/>
      <c r="VSI122" s="69"/>
      <c r="VSJ122" s="69"/>
      <c r="VSK122" s="69"/>
      <c r="VSL122" s="69"/>
      <c r="VSM122" s="69"/>
      <c r="VSN122" s="69"/>
      <c r="VSO122" s="69"/>
      <c r="VSP122" s="69"/>
      <c r="VSQ122" s="69"/>
      <c r="VSR122" s="69"/>
      <c r="VSS122" s="69"/>
      <c r="VST122" s="69"/>
      <c r="VSU122" s="69"/>
      <c r="VSV122" s="69"/>
      <c r="VSW122" s="69"/>
      <c r="VSX122" s="69"/>
      <c r="VSY122" s="69"/>
      <c r="VSZ122" s="69"/>
      <c r="VTA122" s="69"/>
      <c r="VTB122" s="69"/>
      <c r="VTC122" s="69"/>
      <c r="VTD122" s="69"/>
      <c r="VTE122" s="69"/>
      <c r="VTF122" s="69"/>
      <c r="VTG122" s="69"/>
      <c r="VTH122" s="69"/>
      <c r="VTI122" s="69"/>
      <c r="VTJ122" s="69"/>
      <c r="VTK122" s="69"/>
      <c r="VTL122" s="69"/>
      <c r="VTM122" s="69"/>
      <c r="VTN122" s="69"/>
      <c r="VTO122" s="69"/>
      <c r="VTP122" s="69"/>
      <c r="VTQ122" s="69"/>
      <c r="VTR122" s="69"/>
      <c r="VTS122" s="69"/>
      <c r="VTT122" s="69"/>
      <c r="VTU122" s="69"/>
      <c r="VTV122" s="69"/>
      <c r="VTW122" s="69"/>
      <c r="VTX122" s="69"/>
      <c r="VTY122" s="69"/>
      <c r="VTZ122" s="69"/>
      <c r="VUA122" s="69"/>
      <c r="VUB122" s="69"/>
      <c r="VUC122" s="69"/>
      <c r="VUD122" s="69"/>
      <c r="VUE122" s="69"/>
      <c r="VUF122" s="69"/>
      <c r="VUG122" s="69"/>
      <c r="VUH122" s="69"/>
      <c r="VUI122" s="69"/>
      <c r="VUJ122" s="69"/>
      <c r="VUK122" s="69"/>
      <c r="VUL122" s="69"/>
      <c r="VUM122" s="69"/>
      <c r="VUN122" s="69"/>
      <c r="VUO122" s="69"/>
      <c r="VUP122" s="69"/>
      <c r="VUQ122" s="69"/>
      <c r="VUR122" s="69"/>
      <c r="VUS122" s="69"/>
      <c r="VUT122" s="69"/>
      <c r="VUU122" s="69"/>
      <c r="VUV122" s="69"/>
      <c r="VUW122" s="69"/>
      <c r="VUX122" s="69"/>
      <c r="VUY122" s="69"/>
      <c r="VUZ122" s="69"/>
      <c r="VVA122" s="69"/>
      <c r="VVB122" s="69"/>
      <c r="VVC122" s="69"/>
      <c r="VVD122" s="69"/>
      <c r="VVE122" s="69"/>
      <c r="VVF122" s="69"/>
      <c r="VVG122" s="69"/>
      <c r="VVH122" s="69"/>
      <c r="VVI122" s="69"/>
      <c r="VVJ122" s="69"/>
      <c r="VVK122" s="69"/>
      <c r="VVL122" s="69"/>
      <c r="VVM122" s="69"/>
      <c r="VVN122" s="69"/>
      <c r="VVO122" s="69"/>
      <c r="VVP122" s="69"/>
      <c r="VVQ122" s="69"/>
      <c r="VVR122" s="69"/>
      <c r="VVS122" s="69"/>
      <c r="VVT122" s="69"/>
      <c r="VVU122" s="69"/>
      <c r="VVV122" s="69"/>
      <c r="VVW122" s="69"/>
      <c r="VVX122" s="69"/>
      <c r="VVY122" s="69"/>
      <c r="VVZ122" s="69"/>
      <c r="VWA122" s="69"/>
      <c r="VWB122" s="69"/>
      <c r="VWC122" s="69"/>
      <c r="VWD122" s="69"/>
      <c r="VWE122" s="69"/>
      <c r="VWF122" s="69"/>
      <c r="VWG122" s="69"/>
      <c r="VWH122" s="69"/>
      <c r="VWI122" s="69"/>
      <c r="VWJ122" s="69"/>
      <c r="VWK122" s="69"/>
      <c r="VWL122" s="69"/>
      <c r="VWM122" s="69"/>
      <c r="VWN122" s="69"/>
      <c r="VWO122" s="69"/>
      <c r="VWP122" s="69"/>
      <c r="VWQ122" s="69"/>
      <c r="VWR122" s="69"/>
      <c r="VWS122" s="69"/>
      <c r="VWT122" s="69"/>
      <c r="VWU122" s="69"/>
      <c r="VWV122" s="69"/>
      <c r="VWW122" s="69"/>
      <c r="VWX122" s="69"/>
      <c r="VWY122" s="69"/>
      <c r="VWZ122" s="69"/>
      <c r="VXA122" s="69"/>
      <c r="VXB122" s="69"/>
      <c r="VXC122" s="69"/>
      <c r="VXD122" s="69"/>
      <c r="VXE122" s="69"/>
      <c r="VXF122" s="69"/>
      <c r="VXG122" s="69"/>
      <c r="VXH122" s="69"/>
      <c r="VXI122" s="69"/>
      <c r="VXJ122" s="69"/>
      <c r="VXK122" s="69"/>
      <c r="VXL122" s="69"/>
      <c r="VXM122" s="69"/>
      <c r="VXN122" s="69"/>
      <c r="VXO122" s="69"/>
      <c r="VXP122" s="69"/>
      <c r="VXQ122" s="69"/>
      <c r="VXR122" s="69"/>
      <c r="VXS122" s="69"/>
      <c r="VXT122" s="69"/>
      <c r="VXU122" s="69"/>
      <c r="VXV122" s="69"/>
      <c r="VXW122" s="69"/>
      <c r="VXX122" s="69"/>
      <c r="VXY122" s="69"/>
      <c r="VXZ122" s="69"/>
      <c r="VYA122" s="69"/>
      <c r="VYB122" s="69"/>
      <c r="VYC122" s="69"/>
      <c r="VYD122" s="69"/>
      <c r="VYE122" s="69"/>
      <c r="VYF122" s="69"/>
      <c r="VYG122" s="69"/>
      <c r="VYH122" s="69"/>
      <c r="VYI122" s="69"/>
      <c r="VYJ122" s="69"/>
      <c r="VYK122" s="69"/>
      <c r="VYL122" s="69"/>
      <c r="VYM122" s="69"/>
      <c r="VYN122" s="69"/>
      <c r="VYO122" s="69"/>
      <c r="VYP122" s="69"/>
      <c r="VYQ122" s="69"/>
      <c r="VYR122" s="69"/>
      <c r="VYS122" s="69"/>
      <c r="VYT122" s="69"/>
      <c r="VYU122" s="69"/>
      <c r="VYV122" s="69"/>
      <c r="VYW122" s="69"/>
      <c r="VYX122" s="69"/>
      <c r="VYY122" s="69"/>
      <c r="VYZ122" s="69"/>
      <c r="VZA122" s="69"/>
      <c r="VZB122" s="69"/>
      <c r="VZC122" s="69"/>
      <c r="VZD122" s="69"/>
      <c r="VZE122" s="69"/>
      <c r="VZF122" s="69"/>
      <c r="VZG122" s="69"/>
      <c r="VZH122" s="69"/>
      <c r="VZI122" s="69"/>
      <c r="VZJ122" s="69"/>
      <c r="VZK122" s="69"/>
      <c r="VZL122" s="69"/>
      <c r="VZM122" s="69"/>
      <c r="VZN122" s="69"/>
      <c r="VZO122" s="69"/>
      <c r="VZP122" s="69"/>
      <c r="VZQ122" s="69"/>
      <c r="VZR122" s="69"/>
      <c r="VZS122" s="69"/>
      <c r="VZT122" s="69"/>
      <c r="VZU122" s="69"/>
      <c r="VZV122" s="69"/>
      <c r="VZW122" s="69"/>
      <c r="VZX122" s="69"/>
      <c r="VZY122" s="69"/>
      <c r="VZZ122" s="69"/>
      <c r="WAA122" s="69"/>
      <c r="WAB122" s="69"/>
      <c r="WAC122" s="69"/>
      <c r="WAD122" s="69"/>
      <c r="WAE122" s="69"/>
      <c r="WAF122" s="69"/>
      <c r="WAG122" s="69"/>
      <c r="WAH122" s="69"/>
      <c r="WAI122" s="69"/>
      <c r="WAJ122" s="69"/>
      <c r="WAK122" s="69"/>
      <c r="WAL122" s="69"/>
      <c r="WAM122" s="69"/>
      <c r="WAN122" s="69"/>
      <c r="WAO122" s="69"/>
      <c r="WAP122" s="69"/>
      <c r="WAQ122" s="69"/>
      <c r="WAR122" s="69"/>
      <c r="WAS122" s="69"/>
      <c r="WAT122" s="69"/>
      <c r="WAU122" s="69"/>
      <c r="WAV122" s="69"/>
      <c r="WAW122" s="69"/>
      <c r="WAX122" s="69"/>
      <c r="WAY122" s="69"/>
      <c r="WAZ122" s="69"/>
      <c r="WBA122" s="69"/>
      <c r="WBB122" s="69"/>
      <c r="WBC122" s="69"/>
      <c r="WBD122" s="69"/>
      <c r="WBE122" s="69"/>
      <c r="WBF122" s="69"/>
      <c r="WBG122" s="69"/>
      <c r="WBH122" s="69"/>
      <c r="WBI122" s="69"/>
      <c r="WBJ122" s="69"/>
      <c r="WBK122" s="69"/>
      <c r="WBL122" s="69"/>
      <c r="WBM122" s="69"/>
      <c r="WBN122" s="69"/>
      <c r="WBO122" s="69"/>
      <c r="WBP122" s="69"/>
      <c r="WBQ122" s="69"/>
      <c r="WBR122" s="69"/>
      <c r="WBS122" s="69"/>
      <c r="WBT122" s="69"/>
      <c r="WBU122" s="69"/>
      <c r="WBV122" s="69"/>
      <c r="WBW122" s="69"/>
      <c r="WBX122" s="69"/>
      <c r="WBY122" s="69"/>
      <c r="WBZ122" s="69"/>
      <c r="WCA122" s="69"/>
      <c r="WCB122" s="69"/>
      <c r="WCC122" s="69"/>
      <c r="WCD122" s="69"/>
      <c r="WCE122" s="69"/>
      <c r="WCF122" s="69"/>
      <c r="WCG122" s="69"/>
      <c r="WCH122" s="69"/>
      <c r="WCI122" s="69"/>
      <c r="WCJ122" s="69"/>
      <c r="WCK122" s="69"/>
      <c r="WCL122" s="69"/>
      <c r="WCM122" s="69"/>
      <c r="WCN122" s="69"/>
      <c r="WCO122" s="69"/>
      <c r="WCP122" s="69"/>
      <c r="WCQ122" s="69"/>
      <c r="WCR122" s="69"/>
      <c r="WCS122" s="69"/>
      <c r="WCT122" s="69"/>
      <c r="WCU122" s="69"/>
      <c r="WCV122" s="69"/>
      <c r="WCW122" s="69"/>
      <c r="WCX122" s="69"/>
      <c r="WCY122" s="69"/>
      <c r="WCZ122" s="69"/>
      <c r="WDA122" s="69"/>
      <c r="WDB122" s="69"/>
      <c r="WDC122" s="69"/>
      <c r="WDD122" s="69"/>
      <c r="WDE122" s="69"/>
      <c r="WDF122" s="69"/>
      <c r="WDG122" s="69"/>
      <c r="WDH122" s="69"/>
      <c r="WDI122" s="69"/>
      <c r="WDJ122" s="69"/>
      <c r="WDK122" s="69"/>
      <c r="WDL122" s="69"/>
      <c r="WDM122" s="69"/>
      <c r="WDN122" s="69"/>
      <c r="WDO122" s="69"/>
      <c r="WDP122" s="69"/>
      <c r="WDQ122" s="69"/>
      <c r="WDR122" s="69"/>
      <c r="WDS122" s="69"/>
      <c r="WDT122" s="69"/>
      <c r="WDU122" s="69"/>
      <c r="WDV122" s="69"/>
      <c r="WDW122" s="69"/>
      <c r="WDX122" s="69"/>
      <c r="WDY122" s="69"/>
      <c r="WDZ122" s="69"/>
      <c r="WEA122" s="69"/>
      <c r="WEB122" s="69"/>
      <c r="WEC122" s="69"/>
      <c r="WED122" s="69"/>
      <c r="WEE122" s="69"/>
      <c r="WEF122" s="69"/>
      <c r="WEG122" s="69"/>
      <c r="WEH122" s="69"/>
      <c r="WEI122" s="69"/>
      <c r="WEJ122" s="69"/>
      <c r="WEK122" s="69"/>
      <c r="WEL122" s="69"/>
      <c r="WEM122" s="69"/>
      <c r="WEN122" s="69"/>
      <c r="WEO122" s="69"/>
      <c r="WEP122" s="69"/>
      <c r="WEQ122" s="69"/>
      <c r="WER122" s="69"/>
      <c r="WES122" s="69"/>
      <c r="WET122" s="69"/>
      <c r="WEU122" s="69"/>
      <c r="WEV122" s="69"/>
      <c r="WEW122" s="69"/>
      <c r="WEX122" s="69"/>
      <c r="WEY122" s="69"/>
      <c r="WEZ122" s="69"/>
      <c r="WFA122" s="69"/>
      <c r="WFB122" s="69"/>
      <c r="WFC122" s="69"/>
      <c r="WFD122" s="69"/>
      <c r="WFE122" s="69"/>
      <c r="WFF122" s="69"/>
      <c r="WFG122" s="69"/>
      <c r="WFH122" s="69"/>
      <c r="WFI122" s="69"/>
      <c r="WFJ122" s="69"/>
      <c r="WFK122" s="69"/>
      <c r="WFL122" s="69"/>
      <c r="WFM122" s="69"/>
      <c r="WFN122" s="69"/>
      <c r="WFO122" s="69"/>
      <c r="WFP122" s="69"/>
      <c r="WFQ122" s="69"/>
      <c r="WFR122" s="69"/>
      <c r="WFS122" s="69"/>
      <c r="WFT122" s="69"/>
      <c r="WFU122" s="69"/>
      <c r="WFV122" s="69"/>
      <c r="WFW122" s="69"/>
      <c r="WFX122" s="69"/>
      <c r="WFY122" s="69"/>
      <c r="WFZ122" s="69"/>
      <c r="WGA122" s="69"/>
      <c r="WGB122" s="69"/>
      <c r="WGC122" s="69"/>
      <c r="WGD122" s="69"/>
      <c r="WGE122" s="69"/>
      <c r="WGF122" s="69"/>
      <c r="WGG122" s="69"/>
      <c r="WGH122" s="69"/>
      <c r="WGI122" s="69"/>
      <c r="WGJ122" s="69"/>
      <c r="WGK122" s="69"/>
      <c r="WGL122" s="69"/>
      <c r="WGM122" s="69"/>
      <c r="WGN122" s="69"/>
      <c r="WGO122" s="69"/>
      <c r="WGP122" s="69"/>
      <c r="WGQ122" s="69"/>
      <c r="WGR122" s="69"/>
      <c r="WGS122" s="69"/>
      <c r="WGT122" s="69"/>
      <c r="WGU122" s="69"/>
      <c r="WGV122" s="69"/>
      <c r="WGW122" s="69"/>
      <c r="WGX122" s="69"/>
      <c r="WGY122" s="69"/>
      <c r="WGZ122" s="69"/>
      <c r="WHA122" s="69"/>
      <c r="WHB122" s="69"/>
      <c r="WHC122" s="69"/>
      <c r="WHD122" s="69"/>
      <c r="WHE122" s="69"/>
      <c r="WHF122" s="69"/>
      <c r="WHG122" s="69"/>
      <c r="WHH122" s="69"/>
      <c r="WHI122" s="69"/>
      <c r="WHJ122" s="69"/>
      <c r="WHK122" s="69"/>
      <c r="WHL122" s="69"/>
      <c r="WHM122" s="69"/>
      <c r="WHN122" s="69"/>
      <c r="WHO122" s="69"/>
      <c r="WHP122" s="69"/>
      <c r="WHQ122" s="69"/>
      <c r="WHR122" s="69"/>
      <c r="WHS122" s="69"/>
      <c r="WHT122" s="69"/>
      <c r="WHU122" s="69"/>
      <c r="WHV122" s="69"/>
      <c r="WHW122" s="69"/>
      <c r="WHX122" s="69"/>
      <c r="WHY122" s="69"/>
      <c r="WHZ122" s="69"/>
      <c r="WIA122" s="69"/>
      <c r="WIB122" s="69"/>
      <c r="WIC122" s="69"/>
      <c r="WID122" s="69"/>
      <c r="WIE122" s="69"/>
      <c r="WIF122" s="69"/>
      <c r="WIG122" s="69"/>
      <c r="WIH122" s="69"/>
      <c r="WII122" s="69"/>
      <c r="WIJ122" s="69"/>
      <c r="WIK122" s="69"/>
      <c r="WIL122" s="69"/>
      <c r="WIM122" s="69"/>
      <c r="WIN122" s="69"/>
      <c r="WIO122" s="69"/>
      <c r="WIP122" s="69"/>
      <c r="WIQ122" s="69"/>
      <c r="WIR122" s="69"/>
      <c r="WIS122" s="69"/>
      <c r="WIT122" s="69"/>
      <c r="WIU122" s="69"/>
      <c r="WIV122" s="69"/>
      <c r="WIW122" s="69"/>
      <c r="WIX122" s="69"/>
      <c r="WIY122" s="69"/>
      <c r="WIZ122" s="69"/>
      <c r="WJA122" s="69"/>
      <c r="WJB122" s="69"/>
      <c r="WJC122" s="69"/>
      <c r="WJD122" s="69"/>
      <c r="WJE122" s="69"/>
      <c r="WJF122" s="69"/>
      <c r="WJG122" s="69"/>
      <c r="WJH122" s="69"/>
      <c r="WJI122" s="69"/>
      <c r="WJJ122" s="69"/>
      <c r="WJK122" s="69"/>
      <c r="WJL122" s="69"/>
      <c r="WJM122" s="69"/>
      <c r="WJN122" s="69"/>
      <c r="WJO122" s="69"/>
      <c r="WJP122" s="69"/>
      <c r="WJQ122" s="69"/>
      <c r="WJR122" s="69"/>
      <c r="WJS122" s="69"/>
      <c r="WJT122" s="69"/>
      <c r="WJU122" s="69"/>
      <c r="WJV122" s="69"/>
      <c r="WJW122" s="69"/>
      <c r="WJX122" s="69"/>
      <c r="WJY122" s="69"/>
      <c r="WJZ122" s="69"/>
      <c r="WKA122" s="69"/>
      <c r="WKB122" s="69"/>
      <c r="WKC122" s="69"/>
      <c r="WKD122" s="69"/>
      <c r="WKE122" s="69"/>
      <c r="WKF122" s="69"/>
      <c r="WKG122" s="69"/>
      <c r="WKH122" s="69"/>
      <c r="WKI122" s="69"/>
      <c r="WKJ122" s="69"/>
      <c r="WKK122" s="69"/>
      <c r="WKL122" s="69"/>
      <c r="WKM122" s="69"/>
      <c r="WKN122" s="69"/>
      <c r="WKO122" s="69"/>
      <c r="WKP122" s="69"/>
      <c r="WKQ122" s="69"/>
      <c r="WKR122" s="69"/>
      <c r="WKS122" s="69"/>
      <c r="WKT122" s="69"/>
      <c r="WKU122" s="69"/>
      <c r="WKV122" s="69"/>
      <c r="WKW122" s="69"/>
      <c r="WKX122" s="69"/>
      <c r="WKY122" s="69"/>
      <c r="WKZ122" s="69"/>
      <c r="WLA122" s="69"/>
      <c r="WLB122" s="69"/>
      <c r="WLC122" s="69"/>
      <c r="WLD122" s="69"/>
      <c r="WLE122" s="69"/>
      <c r="WLF122" s="69"/>
      <c r="WLG122" s="69"/>
      <c r="WLH122" s="69"/>
      <c r="WLI122" s="69"/>
      <c r="WLJ122" s="69"/>
      <c r="WLK122" s="69"/>
      <c r="WLL122" s="69"/>
      <c r="WLM122" s="69"/>
      <c r="WLN122" s="69"/>
      <c r="WLO122" s="69"/>
      <c r="WLP122" s="69"/>
      <c r="WLQ122" s="69"/>
      <c r="WLR122" s="69"/>
      <c r="WLS122" s="69"/>
      <c r="WLT122" s="69"/>
      <c r="WLU122" s="69"/>
      <c r="WLV122" s="69"/>
      <c r="WLW122" s="69"/>
      <c r="WLX122" s="69"/>
      <c r="WLY122" s="69"/>
      <c r="WLZ122" s="69"/>
      <c r="WMA122" s="69"/>
      <c r="WMB122" s="69"/>
      <c r="WMC122" s="69"/>
      <c r="WMD122" s="69"/>
      <c r="WME122" s="69"/>
      <c r="WMF122" s="69"/>
      <c r="WMG122" s="69"/>
      <c r="WMH122" s="69"/>
      <c r="WMI122" s="69"/>
      <c r="WMJ122" s="69"/>
      <c r="WMK122" s="69"/>
      <c r="WML122" s="69"/>
      <c r="WMM122" s="69"/>
      <c r="WMN122" s="69"/>
      <c r="WMO122" s="69"/>
      <c r="WMP122" s="69"/>
      <c r="WMQ122" s="69"/>
      <c r="WMR122" s="69"/>
      <c r="WMS122" s="69"/>
      <c r="WMT122" s="69"/>
      <c r="WMU122" s="69"/>
      <c r="WMV122" s="69"/>
      <c r="WMW122" s="69"/>
      <c r="WMX122" s="69"/>
      <c r="WMY122" s="69"/>
      <c r="WMZ122" s="69"/>
      <c r="WNA122" s="69"/>
      <c r="WNB122" s="69"/>
      <c r="WNC122" s="69"/>
      <c r="WND122" s="69"/>
      <c r="WNE122" s="69"/>
      <c r="WNF122" s="69"/>
      <c r="WNG122" s="69"/>
      <c r="WNH122" s="69"/>
      <c r="WNI122" s="69"/>
      <c r="WNJ122" s="69"/>
      <c r="WNK122" s="69"/>
      <c r="WNL122" s="69"/>
      <c r="WNM122" s="69"/>
      <c r="WNN122" s="69"/>
      <c r="WNO122" s="69"/>
      <c r="WNP122" s="69"/>
      <c r="WNQ122" s="69"/>
      <c r="WNR122" s="69"/>
      <c r="WNS122" s="69"/>
      <c r="WNT122" s="69"/>
      <c r="WNU122" s="69"/>
      <c r="WNV122" s="69"/>
      <c r="WNW122" s="69"/>
      <c r="WNX122" s="69"/>
      <c r="WNY122" s="69"/>
      <c r="WNZ122" s="69"/>
      <c r="WOA122" s="69"/>
      <c r="WOB122" s="69"/>
      <c r="WOC122" s="69"/>
      <c r="WOD122" s="69"/>
      <c r="WOE122" s="69"/>
      <c r="WOF122" s="69"/>
      <c r="WOG122" s="69"/>
      <c r="WOH122" s="69"/>
      <c r="WOI122" s="69"/>
      <c r="WOJ122" s="69"/>
      <c r="WOK122" s="69"/>
      <c r="WOL122" s="69"/>
      <c r="WOM122" s="69"/>
      <c r="WON122" s="69"/>
      <c r="WOO122" s="69"/>
      <c r="WOP122" s="69"/>
      <c r="WOQ122" s="69"/>
      <c r="WOR122" s="69"/>
      <c r="WOS122" s="69"/>
      <c r="WOT122" s="69"/>
      <c r="WOU122" s="69"/>
      <c r="WOV122" s="69"/>
      <c r="WOW122" s="69"/>
      <c r="WOX122" s="69"/>
      <c r="WOY122" s="69"/>
      <c r="WOZ122" s="69"/>
      <c r="WPA122" s="69"/>
      <c r="WPB122" s="69"/>
      <c r="WPC122" s="69"/>
      <c r="WPD122" s="69"/>
      <c r="WPE122" s="69"/>
      <c r="WPF122" s="69"/>
      <c r="WPG122" s="69"/>
      <c r="WPH122" s="69"/>
      <c r="WPI122" s="69"/>
      <c r="WPJ122" s="69"/>
      <c r="WPK122" s="69"/>
      <c r="WPL122" s="69"/>
      <c r="WPM122" s="69"/>
      <c r="WPN122" s="69"/>
      <c r="WPO122" s="69"/>
      <c r="WPP122" s="69"/>
      <c r="WPQ122" s="69"/>
      <c r="WPR122" s="69"/>
      <c r="WPS122" s="69"/>
      <c r="WPT122" s="69"/>
      <c r="WPU122" s="69"/>
      <c r="WPV122" s="69"/>
      <c r="WPW122" s="69"/>
      <c r="WPX122" s="69"/>
      <c r="WPY122" s="69"/>
      <c r="WPZ122" s="69"/>
      <c r="WQA122" s="69"/>
      <c r="WQB122" s="69"/>
      <c r="WQC122" s="69"/>
      <c r="WQD122" s="69"/>
      <c r="WQE122" s="69"/>
      <c r="WQF122" s="69"/>
      <c r="WQG122" s="69"/>
      <c r="WQH122" s="69"/>
      <c r="WQI122" s="69"/>
      <c r="WQJ122" s="69"/>
      <c r="WQK122" s="69"/>
      <c r="WQL122" s="69"/>
      <c r="WQM122" s="69"/>
      <c r="WQN122" s="69"/>
      <c r="WQO122" s="69"/>
      <c r="WQP122" s="69"/>
      <c r="WQQ122" s="69"/>
      <c r="WQR122" s="69"/>
      <c r="WQS122" s="69"/>
      <c r="WQT122" s="69"/>
      <c r="WQU122" s="69"/>
      <c r="WQV122" s="69"/>
      <c r="WQW122" s="69"/>
      <c r="WQX122" s="69"/>
      <c r="WQY122" s="69"/>
      <c r="WQZ122" s="69"/>
      <c r="WRA122" s="69"/>
      <c r="WRB122" s="69"/>
      <c r="WRC122" s="69"/>
      <c r="WRD122" s="69"/>
      <c r="WRE122" s="69"/>
      <c r="WRF122" s="69"/>
      <c r="WRG122" s="69"/>
      <c r="WRH122" s="69"/>
      <c r="WRI122" s="69"/>
      <c r="WRJ122" s="69"/>
      <c r="WRK122" s="69"/>
      <c r="WRL122" s="69"/>
      <c r="WRM122" s="69"/>
      <c r="WRN122" s="69"/>
      <c r="WRO122" s="69"/>
      <c r="WRP122" s="69"/>
      <c r="WRQ122" s="69"/>
      <c r="WRR122" s="69"/>
      <c r="WRS122" s="69"/>
      <c r="WRT122" s="69"/>
      <c r="WRU122" s="69"/>
      <c r="WRV122" s="69"/>
      <c r="WRW122" s="69"/>
      <c r="WRX122" s="69"/>
      <c r="WRY122" s="69"/>
      <c r="WRZ122" s="69"/>
      <c r="WSA122" s="69"/>
      <c r="WSB122" s="69"/>
      <c r="WSC122" s="69"/>
      <c r="WSD122" s="69"/>
      <c r="WSE122" s="69"/>
      <c r="WSF122" s="69"/>
      <c r="WSG122" s="69"/>
      <c r="WSH122" s="69"/>
      <c r="WSI122" s="69"/>
      <c r="WSJ122" s="69"/>
      <c r="WSK122" s="69"/>
      <c r="WSL122" s="69"/>
      <c r="WSM122" s="69"/>
      <c r="WSN122" s="69"/>
      <c r="WSO122" s="69"/>
      <c r="WSP122" s="69"/>
      <c r="WSQ122" s="69"/>
      <c r="WSR122" s="69"/>
      <c r="WSS122" s="69"/>
      <c r="WST122" s="69"/>
      <c r="WSU122" s="69"/>
      <c r="WSV122" s="69"/>
      <c r="WSW122" s="69"/>
      <c r="WSX122" s="69"/>
      <c r="WSY122" s="69"/>
      <c r="WSZ122" s="69"/>
      <c r="WTA122" s="69"/>
      <c r="WTB122" s="69"/>
      <c r="WTC122" s="69"/>
      <c r="WTD122" s="69"/>
      <c r="WTE122" s="69"/>
      <c r="WTF122" s="69"/>
      <c r="WTG122" s="69"/>
      <c r="WTH122" s="69"/>
      <c r="WTI122" s="69"/>
      <c r="WTJ122" s="69"/>
      <c r="WTK122" s="69"/>
      <c r="WTL122" s="69"/>
      <c r="WTM122" s="69"/>
      <c r="WTN122" s="69"/>
      <c r="WTO122" s="69"/>
      <c r="WTP122" s="69"/>
      <c r="WTQ122" s="69"/>
      <c r="WTR122" s="69"/>
      <c r="WTS122" s="69"/>
      <c r="WTT122" s="69"/>
      <c r="WTU122" s="69"/>
      <c r="WTV122" s="69"/>
      <c r="WTW122" s="69"/>
      <c r="WTX122" s="69"/>
      <c r="WTY122" s="69"/>
      <c r="WTZ122" s="69"/>
      <c r="WUA122" s="69"/>
      <c r="WUB122" s="69"/>
      <c r="WUC122" s="69"/>
      <c r="WUD122" s="69"/>
      <c r="WUE122" s="69"/>
      <c r="WUF122" s="69"/>
      <c r="WUG122" s="69"/>
      <c r="WUH122" s="69"/>
      <c r="WUI122" s="69"/>
      <c r="WUJ122" s="69"/>
      <c r="WUK122" s="69"/>
      <c r="WUL122" s="69"/>
      <c r="WUM122" s="69"/>
      <c r="WUN122" s="69"/>
      <c r="WUO122" s="69"/>
      <c r="WUP122" s="69"/>
      <c r="WUQ122" s="69"/>
      <c r="WUR122" s="69"/>
      <c r="WUS122" s="69"/>
      <c r="WUT122" s="69"/>
      <c r="WUU122" s="69"/>
      <c r="WUV122" s="69"/>
      <c r="WUW122" s="69"/>
      <c r="WUX122" s="69"/>
      <c r="WUY122" s="69"/>
      <c r="WUZ122" s="69"/>
      <c r="WVA122" s="69"/>
      <c r="WVB122" s="69"/>
      <c r="WVC122" s="69"/>
      <c r="WVD122" s="69"/>
      <c r="WVE122" s="69"/>
      <c r="WVF122" s="69"/>
      <c r="WVG122" s="69"/>
      <c r="WVH122" s="69"/>
      <c r="WVI122" s="69"/>
      <c r="WVJ122" s="69"/>
      <c r="WVK122" s="69"/>
      <c r="WVL122" s="69"/>
      <c r="WVM122" s="69"/>
      <c r="WVN122" s="69"/>
      <c r="WVO122" s="69"/>
      <c r="WVP122" s="69"/>
      <c r="WVQ122" s="69"/>
      <c r="WVR122" s="69"/>
      <c r="WVS122" s="69"/>
      <c r="WVT122" s="69"/>
      <c r="WVU122" s="69"/>
      <c r="WVV122" s="69"/>
      <c r="WVW122" s="69"/>
      <c r="WVX122" s="69"/>
      <c r="WVY122" s="69"/>
      <c r="WVZ122" s="69"/>
      <c r="WWA122" s="69"/>
      <c r="WWB122" s="69"/>
      <c r="WWC122" s="69"/>
      <c r="WWD122" s="69"/>
      <c r="WWE122" s="69"/>
      <c r="WWF122" s="69"/>
      <c r="WWG122" s="69"/>
      <c r="WWH122" s="69"/>
      <c r="WWI122" s="69"/>
      <c r="WWJ122" s="69"/>
      <c r="WWK122" s="69"/>
      <c r="WWL122" s="69"/>
      <c r="WWM122" s="69"/>
      <c r="WWN122" s="69"/>
      <c r="WWO122" s="69"/>
      <c r="WWP122" s="69"/>
      <c r="WWQ122" s="69"/>
      <c r="WWR122" s="69"/>
      <c r="WWS122" s="69"/>
      <c r="WWT122" s="69"/>
      <c r="WWU122" s="69"/>
      <c r="WWV122" s="69"/>
      <c r="WWW122" s="69"/>
      <c r="WWX122" s="69"/>
      <c r="WWY122" s="69"/>
      <c r="WWZ122" s="69"/>
      <c r="WXA122" s="69"/>
      <c r="WXB122" s="69"/>
      <c r="WXC122" s="69"/>
      <c r="WXD122" s="69"/>
      <c r="WXE122" s="69"/>
      <c r="WXF122" s="69"/>
      <c r="WXG122" s="69"/>
      <c r="WXH122" s="69"/>
      <c r="WXI122" s="69"/>
      <c r="WXJ122" s="69"/>
      <c r="WXK122" s="69"/>
      <c r="WXL122" s="69"/>
      <c r="WXM122" s="69"/>
      <c r="WXN122" s="69"/>
      <c r="WXO122" s="69"/>
      <c r="WXP122" s="69"/>
      <c r="WXQ122" s="69"/>
      <c r="WXR122" s="69"/>
      <c r="WXS122" s="69"/>
      <c r="WXT122" s="69"/>
      <c r="WXU122" s="69"/>
      <c r="WXV122" s="69"/>
      <c r="WXW122" s="69"/>
      <c r="WXX122" s="69"/>
      <c r="WXY122" s="69"/>
      <c r="WXZ122" s="69"/>
      <c r="WYA122" s="69"/>
      <c r="WYB122" s="69"/>
      <c r="WYC122" s="69"/>
      <c r="WYD122" s="69"/>
      <c r="WYE122" s="69"/>
      <c r="WYF122" s="69"/>
      <c r="WYG122" s="69"/>
      <c r="WYH122" s="69"/>
      <c r="WYI122" s="69"/>
      <c r="WYJ122" s="69"/>
      <c r="WYK122" s="69"/>
      <c r="WYL122" s="69"/>
      <c r="WYM122" s="69"/>
      <c r="WYN122" s="69"/>
      <c r="WYO122" s="69"/>
      <c r="WYP122" s="69"/>
      <c r="WYQ122" s="69"/>
      <c r="WYR122" s="69"/>
      <c r="WYS122" s="69"/>
      <c r="WYT122" s="69"/>
      <c r="WYU122" s="69"/>
      <c r="WYV122" s="69"/>
      <c r="WYW122" s="69"/>
      <c r="WYX122" s="69"/>
      <c r="WYY122" s="69"/>
      <c r="WYZ122" s="69"/>
      <c r="WZA122" s="69"/>
      <c r="WZB122" s="69"/>
      <c r="WZC122" s="69"/>
      <c r="WZD122" s="69"/>
      <c r="WZE122" s="69"/>
      <c r="WZF122" s="69"/>
      <c r="WZG122" s="69"/>
      <c r="WZH122" s="69"/>
      <c r="WZI122" s="69"/>
      <c r="WZJ122" s="69"/>
      <c r="WZK122" s="69"/>
      <c r="WZL122" s="69"/>
      <c r="WZM122" s="69"/>
      <c r="WZN122" s="69"/>
      <c r="WZO122" s="69"/>
      <c r="WZP122" s="69"/>
      <c r="WZQ122" s="69"/>
      <c r="WZR122" s="69"/>
      <c r="WZS122" s="69"/>
      <c r="WZT122" s="69"/>
      <c r="WZU122" s="69"/>
      <c r="WZV122" s="69"/>
      <c r="WZW122" s="69"/>
      <c r="WZX122" s="69"/>
      <c r="WZY122" s="69"/>
      <c r="WZZ122" s="69"/>
      <c r="XAA122" s="69"/>
      <c r="XAB122" s="69"/>
      <c r="XAC122" s="69"/>
      <c r="XAD122" s="69"/>
      <c r="XAE122" s="69"/>
      <c r="XAF122" s="69"/>
      <c r="XAG122" s="69"/>
      <c r="XAH122" s="69"/>
      <c r="XAI122" s="69"/>
      <c r="XAJ122" s="69"/>
      <c r="XAK122" s="69"/>
      <c r="XAL122" s="69"/>
      <c r="XAM122" s="69"/>
      <c r="XAN122" s="69"/>
      <c r="XAO122" s="69"/>
      <c r="XAP122" s="69"/>
      <c r="XAQ122" s="69"/>
      <c r="XAR122" s="69"/>
      <c r="XAS122" s="69"/>
      <c r="XAT122" s="69"/>
      <c r="XAU122" s="69"/>
      <c r="XAV122" s="69"/>
      <c r="XAW122" s="69"/>
      <c r="XAX122" s="69"/>
      <c r="XAY122" s="69"/>
      <c r="XAZ122" s="69"/>
      <c r="XBA122" s="69"/>
      <c r="XBB122" s="69"/>
      <c r="XBC122" s="69"/>
      <c r="XBD122" s="69"/>
      <c r="XBE122" s="69"/>
      <c r="XBF122" s="69"/>
      <c r="XBG122" s="69"/>
      <c r="XBH122" s="69"/>
      <c r="XBI122" s="69"/>
      <c r="XBJ122" s="69"/>
      <c r="XBK122" s="69"/>
      <c r="XBL122" s="69"/>
      <c r="XBM122" s="69"/>
      <c r="XBN122" s="69"/>
      <c r="XBO122" s="69"/>
      <c r="XBP122" s="69"/>
      <c r="XBQ122" s="69"/>
      <c r="XBR122" s="69"/>
      <c r="XBS122" s="69"/>
      <c r="XBT122" s="69"/>
      <c r="XBU122" s="69"/>
      <c r="XBV122" s="69"/>
      <c r="XBW122" s="69"/>
      <c r="XBX122" s="69"/>
      <c r="XBY122" s="69"/>
      <c r="XBZ122" s="69"/>
      <c r="XCA122" s="69"/>
      <c r="XCB122" s="69"/>
      <c r="XCC122" s="69"/>
      <c r="XCD122" s="69"/>
      <c r="XCE122" s="69"/>
      <c r="XCF122" s="69"/>
      <c r="XCG122" s="69"/>
      <c r="XCH122" s="69"/>
      <c r="XCI122" s="69"/>
      <c r="XCJ122" s="69"/>
      <c r="XCK122" s="69"/>
      <c r="XCL122" s="69"/>
      <c r="XCM122" s="69"/>
      <c r="XCN122" s="69"/>
      <c r="XCO122" s="69"/>
      <c r="XCP122" s="69"/>
      <c r="XCQ122" s="69"/>
      <c r="XCR122" s="69"/>
      <c r="XCS122" s="69"/>
      <c r="XCT122" s="69"/>
      <c r="XCU122" s="69"/>
      <c r="XCV122" s="69"/>
      <c r="XCW122" s="69"/>
      <c r="XCX122" s="69"/>
      <c r="XCY122" s="69"/>
      <c r="XCZ122" s="69"/>
      <c r="XDA122" s="69"/>
      <c r="XDB122" s="69"/>
      <c r="XDC122" s="69"/>
      <c r="XDD122" s="69"/>
      <c r="XDE122" s="69"/>
      <c r="XDF122" s="69"/>
      <c r="XDG122" s="69"/>
      <c r="XDH122" s="69"/>
      <c r="XDI122" s="69"/>
      <c r="XDJ122" s="69"/>
      <c r="XDK122" s="69"/>
      <c r="XDL122" s="69"/>
      <c r="XDM122" s="69"/>
      <c r="XDN122" s="69"/>
      <c r="XDO122" s="69"/>
      <c r="XDP122" s="69"/>
      <c r="XDQ122" s="69"/>
      <c r="XDR122" s="69"/>
      <c r="XDS122" s="69"/>
      <c r="XDT122" s="69"/>
      <c r="XDU122" s="69"/>
      <c r="XDV122" s="69"/>
      <c r="XDW122" s="69"/>
      <c r="XDX122" s="69"/>
      <c r="XDY122" s="69"/>
      <c r="XDZ122" s="69"/>
      <c r="XEA122" s="69"/>
      <c r="XEB122" s="69"/>
      <c r="XEC122" s="69"/>
      <c r="XED122" s="69"/>
      <c r="XEE122" s="69"/>
      <c r="XEF122" s="69"/>
      <c r="XEG122" s="69"/>
      <c r="XEH122" s="69"/>
      <c r="XEI122" s="69"/>
      <c r="XEJ122" s="69"/>
      <c r="XEK122" s="69"/>
      <c r="XEL122" s="69"/>
      <c r="XEM122" s="69"/>
      <c r="XEN122" s="69"/>
      <c r="XEO122" s="69"/>
      <c r="XEP122" s="69"/>
      <c r="XEQ122" s="69"/>
      <c r="XER122" s="69"/>
      <c r="XES122" s="69"/>
      <c r="XET122" s="69"/>
      <c r="XEU122" s="69"/>
      <c r="XEV122" s="69"/>
      <c r="XEW122" s="69"/>
      <c r="XEX122" s="69"/>
      <c r="XEY122" s="69"/>
      <c r="XEZ122" s="69"/>
      <c r="XFA122" s="69"/>
      <c r="XFB122" s="69"/>
      <c r="XFC122" s="69"/>
      <c r="XFD122" s="69"/>
    </row>
    <row r="123" spans="1:16384" s="36" customFormat="1" ht="11.25" customHeight="1">
      <c r="A123" s="69" t="s">
        <v>30</v>
      </c>
      <c r="B123" s="56">
        <f t="shared" ref="B123:AE123" si="117">B20/B9</f>
        <v>0.20842313218390804</v>
      </c>
      <c r="C123" s="78">
        <f t="shared" si="117"/>
        <v>0.23224637681159421</v>
      </c>
      <c r="D123" s="78">
        <f t="shared" si="117"/>
        <v>0.28093158660844253</v>
      </c>
      <c r="E123" s="78">
        <f t="shared" si="117"/>
        <v>0.27619387027797576</v>
      </c>
      <c r="F123" s="78">
        <f t="shared" si="117"/>
        <v>0.16734542761940022</v>
      </c>
      <c r="G123" s="56">
        <f t="shared" si="117"/>
        <v>0.23967317294598275</v>
      </c>
      <c r="H123" s="78">
        <f t="shared" si="117"/>
        <v>0.28627731995700467</v>
      </c>
      <c r="I123" s="78">
        <f t="shared" si="117"/>
        <v>0.28481894150417825</v>
      </c>
      <c r="J123" s="78">
        <f t="shared" si="117"/>
        <v>0.29924760601915185</v>
      </c>
      <c r="K123" s="78">
        <f t="shared" si="117"/>
        <v>0.16371077762619374</v>
      </c>
      <c r="L123" s="56">
        <f t="shared" si="117"/>
        <v>0.25800850768295858</v>
      </c>
      <c r="M123" s="78">
        <f t="shared" si="117"/>
        <v>0.29982847341337909</v>
      </c>
      <c r="N123" s="78">
        <f t="shared" si="117"/>
        <v>0.33210332103321033</v>
      </c>
      <c r="O123" s="78">
        <f t="shared" si="117"/>
        <v>0.32278272337619518</v>
      </c>
      <c r="P123" s="78">
        <f t="shared" si="117"/>
        <v>0.2946370176586004</v>
      </c>
      <c r="Q123" s="56">
        <f t="shared" si="117"/>
        <v>0.31233836656377745</v>
      </c>
      <c r="R123" s="78">
        <f t="shared" si="117"/>
        <v>0.22828698935805011</v>
      </c>
      <c r="S123" s="78">
        <f t="shared" si="117"/>
        <v>0.32319391634980987</v>
      </c>
      <c r="T123" s="78">
        <f t="shared" si="117"/>
        <v>0.32362015769626329</v>
      </c>
      <c r="U123" s="78">
        <f t="shared" si="117"/>
        <v>0.26830188679245282</v>
      </c>
      <c r="V123" s="56">
        <f t="shared" si="117"/>
        <v>0.28620416776576102</v>
      </c>
      <c r="W123" s="78">
        <f t="shared" si="117"/>
        <v>0.31021897810218979</v>
      </c>
      <c r="X123" s="78">
        <f t="shared" si="117"/>
        <v>0.28747591522157995</v>
      </c>
      <c r="Y123" s="78">
        <f t="shared" si="117"/>
        <v>0.26744186046511625</v>
      </c>
      <c r="Z123" s="78">
        <f t="shared" si="117"/>
        <v>0.3176806859942834</v>
      </c>
      <c r="AA123" s="56">
        <f t="shared" si="117"/>
        <v>0.29587468379062076</v>
      </c>
      <c r="AB123" s="78">
        <f t="shared" si="117"/>
        <v>0.31642411642411644</v>
      </c>
      <c r="AC123" s="78">
        <f t="shared" si="117"/>
        <v>0.31646108039132287</v>
      </c>
      <c r="AD123" s="78">
        <f t="shared" si="117"/>
        <v>0.30066722268557133</v>
      </c>
      <c r="AE123" s="78">
        <f t="shared" si="117"/>
        <v>0.24616023246160232</v>
      </c>
      <c r="AF123" s="56">
        <v>0.29478197218446095</v>
      </c>
      <c r="AG123" s="78">
        <v>0.29770662051060148</v>
      </c>
      <c r="AH123" s="78">
        <v>0.5484444444444444</v>
      </c>
      <c r="AI123" s="78">
        <v>0.30062724014336917</v>
      </c>
      <c r="AJ123" s="78">
        <v>0.27984084880636606</v>
      </c>
      <c r="AK123" s="56">
        <v>0.35626725565985645</v>
      </c>
      <c r="AL123" s="78">
        <v>0.29254829806807725</v>
      </c>
      <c r="AM123" s="78">
        <v>0.30503265462927392</v>
      </c>
      <c r="AN123" s="78">
        <v>0.25057647963105306</v>
      </c>
      <c r="AO123" s="78">
        <v>0.18726016884113583</v>
      </c>
      <c r="AP123" s="56">
        <v>0.257386079118678</v>
      </c>
      <c r="AQ123" s="78">
        <v>0.22430636967565457</v>
      </c>
      <c r="AR123" s="78">
        <v>0.24532058940661092</v>
      </c>
      <c r="AS123" s="78">
        <v>0.23864541832669323</v>
      </c>
      <c r="AT123" s="78">
        <v>0.21246006389776359</v>
      </c>
      <c r="AU123" s="56">
        <v>0.23016660055533519</v>
      </c>
      <c r="AV123" s="78">
        <v>0.23073787199347737</v>
      </c>
      <c r="AW123" s="78">
        <v>0.23264311814859928</v>
      </c>
      <c r="AX123" s="78">
        <v>0.22525879917184266</v>
      </c>
      <c r="AY123" s="78">
        <v>0.17371847030105778</v>
      </c>
      <c r="AZ123" s="56">
        <v>0.21554806415364183</v>
      </c>
      <c r="BA123" s="78">
        <v>0.19567979669631513</v>
      </c>
      <c r="BB123" s="78">
        <v>0.15902271753107586</v>
      </c>
      <c r="BC123" s="78">
        <v>0.1864406779661017</v>
      </c>
      <c r="BD123" s="78">
        <v>-0.77815993121238181</v>
      </c>
      <c r="BE123" s="56">
        <v>-5.879197510996674E-2</v>
      </c>
    </row>
    <row r="124" spans="1:16384" s="36" customFormat="1" ht="11.25" customHeight="1">
      <c r="A124" s="69" t="s">
        <v>38</v>
      </c>
      <c r="B124" s="56">
        <f t="shared" ref="B124:AE124" si="118">B32/B9</f>
        <v>0.11943247126436782</v>
      </c>
      <c r="C124" s="78">
        <f t="shared" si="118"/>
        <v>0.14891304347826087</v>
      </c>
      <c r="D124" s="78">
        <f t="shared" si="118"/>
        <v>0.16593886462882096</v>
      </c>
      <c r="E124" s="78">
        <f t="shared" si="118"/>
        <v>0.1646471846044191</v>
      </c>
      <c r="F124" s="78">
        <f t="shared" si="118"/>
        <v>0.11032950758978156</v>
      </c>
      <c r="G124" s="56">
        <f t="shared" si="118"/>
        <v>0.14770767135724014</v>
      </c>
      <c r="H124" s="78">
        <f t="shared" si="118"/>
        <v>0.21784306700107489</v>
      </c>
      <c r="I124" s="78">
        <f t="shared" si="118"/>
        <v>0.18837047353760444</v>
      </c>
      <c r="J124" s="78">
        <f t="shared" si="118"/>
        <v>0.71409028727770174</v>
      </c>
      <c r="K124" s="78">
        <f t="shared" si="118"/>
        <v>0.12482946793997271</v>
      </c>
      <c r="L124" s="56">
        <f t="shared" si="118"/>
        <v>0.31278756836530947</v>
      </c>
      <c r="M124" s="78">
        <f t="shared" si="118"/>
        <v>0.22024013722126928</v>
      </c>
      <c r="N124" s="78">
        <f t="shared" si="118"/>
        <v>0.2140221402214022</v>
      </c>
      <c r="O124" s="78">
        <f t="shared" si="118"/>
        <v>0.19386745796241345</v>
      </c>
      <c r="P124" s="78">
        <f t="shared" si="118"/>
        <v>0.1880313930673643</v>
      </c>
      <c r="Q124" s="56">
        <f t="shared" si="118"/>
        <v>0.20380412113122551</v>
      </c>
      <c r="R124" s="78">
        <f t="shared" si="118"/>
        <v>0.13971850326124272</v>
      </c>
      <c r="S124" s="78">
        <f t="shared" si="118"/>
        <v>0.20221223643276875</v>
      </c>
      <c r="T124" s="78">
        <f t="shared" si="118"/>
        <v>0.18854988001371273</v>
      </c>
      <c r="U124" s="78">
        <f t="shared" si="118"/>
        <v>0.20075471698113206</v>
      </c>
      <c r="V124" s="56">
        <f t="shared" si="118"/>
        <v>0.18236173393124067</v>
      </c>
      <c r="W124" s="78">
        <f t="shared" si="118"/>
        <v>0.2124087591240876</v>
      </c>
      <c r="X124" s="78">
        <f t="shared" si="118"/>
        <v>0.15992292870905589</v>
      </c>
      <c r="Y124" s="78">
        <f t="shared" si="118"/>
        <v>0.13712910986367283</v>
      </c>
      <c r="Z124" s="78">
        <f t="shared" si="118"/>
        <v>0.21314822376480197</v>
      </c>
      <c r="AA124" s="56">
        <f t="shared" si="118"/>
        <v>0.1810663553220471</v>
      </c>
      <c r="AB124" s="78">
        <f t="shared" si="118"/>
        <v>0.20665280665280666</v>
      </c>
      <c r="AC124" s="78">
        <f t="shared" si="118"/>
        <v>0.20119098256061252</v>
      </c>
      <c r="AD124" s="78">
        <f t="shared" si="118"/>
        <v>0.18723936613844872</v>
      </c>
      <c r="AE124" s="78">
        <f t="shared" si="118"/>
        <v>0.14611872146118721</v>
      </c>
      <c r="AF124" s="56">
        <v>0.18519293108857054</v>
      </c>
      <c r="AG124" s="78">
        <v>0.1977498918217222</v>
      </c>
      <c r="AH124" s="78">
        <v>0.36</v>
      </c>
      <c r="AI124" s="78">
        <v>0.1917562724014337</v>
      </c>
      <c r="AJ124" s="78">
        <v>0.18390804597701149</v>
      </c>
      <c r="AK124" s="56">
        <v>0.2331308669243512</v>
      </c>
      <c r="AL124" s="78">
        <v>0.21297148114075437</v>
      </c>
      <c r="AM124" s="78">
        <v>0.18517095658855168</v>
      </c>
      <c r="AN124" s="78">
        <v>0.15641813989239048</v>
      </c>
      <c r="AO124" s="78">
        <v>0.14159631619339985</v>
      </c>
      <c r="AP124" s="56">
        <v>0.17235853780671007</v>
      </c>
      <c r="AQ124" s="78">
        <v>0.11254396248534584</v>
      </c>
      <c r="AR124" s="78">
        <v>0.15013938669852647</v>
      </c>
      <c r="AS124" s="78">
        <v>0.15697211155378485</v>
      </c>
      <c r="AT124" s="78">
        <v>7.3881789137380194E-2</v>
      </c>
      <c r="AU124" s="56">
        <v>0.12336374454581515</v>
      </c>
      <c r="AV124" s="78">
        <v>0.14268242967794537</v>
      </c>
      <c r="AW124" s="78">
        <v>0.14535119772634997</v>
      </c>
      <c r="AX124" s="78">
        <v>0.13333333333333333</v>
      </c>
      <c r="AY124" s="78">
        <v>8.3401139137510169E-2</v>
      </c>
      <c r="AZ124" s="56">
        <v>0.12616201859229748</v>
      </c>
      <c r="BA124" s="78">
        <v>0.11012282930961458</v>
      </c>
      <c r="BB124" s="78">
        <v>8.3583369052721818E-2</v>
      </c>
      <c r="BC124" s="78">
        <v>0.10169491525423729</v>
      </c>
      <c r="BD124" s="78">
        <v>-0.75451418744625964</v>
      </c>
      <c r="BE124" s="56">
        <v>-0.11436541143654114</v>
      </c>
    </row>
    <row r="125" spans="1:16384" s="36" customFormat="1" ht="11.25" customHeight="1">
      <c r="A125" s="69" t="s">
        <v>10</v>
      </c>
      <c r="B125" s="56">
        <f t="shared" ref="B125:AE125" si="119">B36/B9</f>
        <v>0.34392959770114945</v>
      </c>
      <c r="C125" s="78">
        <f t="shared" si="119"/>
        <v>0.36557971014492752</v>
      </c>
      <c r="D125" s="78">
        <f t="shared" si="119"/>
        <v>0.41229985443959244</v>
      </c>
      <c r="E125" s="78">
        <f t="shared" si="119"/>
        <v>0.40627227369921598</v>
      </c>
      <c r="F125" s="78">
        <f t="shared" si="119"/>
        <v>0.30211032950758976</v>
      </c>
      <c r="G125" s="56">
        <f t="shared" si="119"/>
        <v>0.37203812982296869</v>
      </c>
      <c r="H125" s="78">
        <f t="shared" si="119"/>
        <v>0.41920458616983158</v>
      </c>
      <c r="I125" s="78">
        <f t="shared" si="119"/>
        <v>0.41608635097493035</v>
      </c>
      <c r="J125" s="78">
        <f t="shared" si="119"/>
        <v>0.42270861833105333</v>
      </c>
      <c r="K125" s="78">
        <f t="shared" si="119"/>
        <v>0.29195088676671216</v>
      </c>
      <c r="L125" s="56">
        <f t="shared" si="119"/>
        <v>0.38692594843302369</v>
      </c>
      <c r="M125" s="78">
        <f t="shared" si="119"/>
        <v>0.41749571183533446</v>
      </c>
      <c r="N125" s="78">
        <f t="shared" si="119"/>
        <v>0.44884267024488428</v>
      </c>
      <c r="O125" s="78">
        <f t="shared" si="119"/>
        <v>0.43818001978239368</v>
      </c>
      <c r="P125" s="78">
        <f t="shared" si="119"/>
        <v>0.41497710922171355</v>
      </c>
      <c r="Q125" s="56">
        <f t="shared" si="119"/>
        <v>0.4298823725702845</v>
      </c>
      <c r="R125" s="78">
        <f t="shared" si="119"/>
        <v>0.34328870580157911</v>
      </c>
      <c r="S125" s="78">
        <f t="shared" si="119"/>
        <v>0.44348427238161081</v>
      </c>
      <c r="T125" s="78">
        <f t="shared" si="119"/>
        <v>0.44600617072334592</v>
      </c>
      <c r="U125" s="78">
        <f t="shared" si="119"/>
        <v>0.40226415094339624</v>
      </c>
      <c r="V125" s="56">
        <f t="shared" si="119"/>
        <v>0.40886309680823002</v>
      </c>
      <c r="W125" s="78">
        <f t="shared" si="119"/>
        <v>0.44087591240875912</v>
      </c>
      <c r="X125" s="78">
        <f t="shared" si="119"/>
        <v>0.4254335260115607</v>
      </c>
      <c r="Y125" s="78">
        <f t="shared" si="119"/>
        <v>0.41138732959101842</v>
      </c>
      <c r="Z125" s="78">
        <f t="shared" si="119"/>
        <v>0.46508779093507552</v>
      </c>
      <c r="AA125" s="56">
        <f t="shared" si="119"/>
        <v>0.43559058182525784</v>
      </c>
      <c r="AB125" s="78">
        <f t="shared" si="119"/>
        <v>0.45280665280665283</v>
      </c>
      <c r="AC125" s="78">
        <f t="shared" si="119"/>
        <v>0.4551254785197788</v>
      </c>
      <c r="AD125" s="78">
        <f t="shared" si="119"/>
        <v>0.4378648874061718</v>
      </c>
      <c r="AE125" s="78">
        <f t="shared" si="119"/>
        <v>0.38231631382316311</v>
      </c>
      <c r="AF125" s="56">
        <v>0.43187284325002612</v>
      </c>
      <c r="AG125" s="78">
        <v>0.43357853742968411</v>
      </c>
      <c r="AH125" s="78">
        <v>0.69022222222222218</v>
      </c>
      <c r="AI125" s="78">
        <v>0.44713261648745517</v>
      </c>
      <c r="AJ125" s="78">
        <v>0.4217506631299735</v>
      </c>
      <c r="AK125" s="56">
        <v>0.49773605742683602</v>
      </c>
      <c r="AL125" s="78">
        <v>0.43836246550137997</v>
      </c>
      <c r="AM125" s="78">
        <v>0.47829427583557432</v>
      </c>
      <c r="AN125" s="78">
        <v>0.42621060722521137</v>
      </c>
      <c r="AO125" s="78">
        <v>0.36339217191097467</v>
      </c>
      <c r="AP125" s="56">
        <v>0.42603905858788182</v>
      </c>
      <c r="AQ125" s="78">
        <v>0.39976553341148885</v>
      </c>
      <c r="AR125" s="78">
        <v>0.42054958183990443</v>
      </c>
      <c r="AS125" s="78">
        <v>0.41474103585657368</v>
      </c>
      <c r="AT125" s="78">
        <v>0.37539936102236421</v>
      </c>
      <c r="AU125" s="56">
        <v>0.40261800872669573</v>
      </c>
      <c r="AV125" s="78">
        <v>0.40521810028536487</v>
      </c>
      <c r="AW125" s="78">
        <v>0.4047909053999188</v>
      </c>
      <c r="AX125" s="78">
        <v>0.40579710144927539</v>
      </c>
      <c r="AY125" s="78">
        <v>0.34743694060211555</v>
      </c>
      <c r="AZ125" s="56">
        <v>0.39074471345387679</v>
      </c>
      <c r="BA125" s="78">
        <v>0.41804320203303685</v>
      </c>
      <c r="BB125" s="78">
        <v>0.3891984569224175</v>
      </c>
      <c r="BC125" s="78">
        <v>0.42416340721425466</v>
      </c>
      <c r="BD125" s="78">
        <v>-0.52880481513327604</v>
      </c>
      <c r="BE125" s="56">
        <v>0.17605407145156099</v>
      </c>
    </row>
    <row r="126" spans="1:16384" ht="11.7" customHeight="1">
      <c r="A126" s="69" t="s">
        <v>19</v>
      </c>
      <c r="B126" s="56">
        <f t="shared" ref="B126:AE126" si="120">B88/B9</f>
        <v>8.9031070402298851E-2</v>
      </c>
      <c r="C126" s="78">
        <f t="shared" si="120"/>
        <v>0.10384057971014493</v>
      </c>
      <c r="D126" s="78">
        <f t="shared" si="120"/>
        <v>0.12607205240174674</v>
      </c>
      <c r="E126" s="78">
        <f t="shared" si="120"/>
        <v>0.19214183891660727</v>
      </c>
      <c r="F126" s="78">
        <f t="shared" si="120"/>
        <v>0.13301110699740837</v>
      </c>
      <c r="G126" s="56">
        <f t="shared" si="120"/>
        <v>0.1390339536995007</v>
      </c>
      <c r="H126" s="78">
        <f t="shared" si="120"/>
        <v>0.14674453600859907</v>
      </c>
      <c r="I126" s="78">
        <f t="shared" si="120"/>
        <v>0.13269080779944289</v>
      </c>
      <c r="J126" s="78">
        <f t="shared" si="120"/>
        <v>0.13132694938440492</v>
      </c>
      <c r="K126" s="78">
        <f t="shared" si="120"/>
        <v>0.12290177353342428</v>
      </c>
      <c r="L126" s="56">
        <f t="shared" si="120"/>
        <v>0.13325809532077437</v>
      </c>
      <c r="M126" s="78">
        <f t="shared" si="120"/>
        <v>0.12658662092624356</v>
      </c>
      <c r="N126" s="78">
        <f t="shared" si="120"/>
        <v>0.13284132841328414</v>
      </c>
      <c r="O126" s="78">
        <f t="shared" si="120"/>
        <v>0.12396966699637323</v>
      </c>
      <c r="P126" s="78">
        <f t="shared" si="120"/>
        <v>0.15729234793982996</v>
      </c>
      <c r="Q126" s="56">
        <f t="shared" si="120"/>
        <v>0.13531325602736297</v>
      </c>
      <c r="R126" s="78">
        <f t="shared" si="120"/>
        <v>0.17164435290078955</v>
      </c>
      <c r="S126" s="78">
        <f t="shared" si="120"/>
        <v>0.15727618389215348</v>
      </c>
      <c r="T126" s="78">
        <f t="shared" si="120"/>
        <v>0.16420980459376072</v>
      </c>
      <c r="U126" s="78">
        <f t="shared" si="120"/>
        <v>0.1769811320754717</v>
      </c>
      <c r="V126" s="56">
        <f t="shared" si="120"/>
        <v>0.16732612327442187</v>
      </c>
      <c r="W126" s="78">
        <f t="shared" si="120"/>
        <v>0.16788321167883211</v>
      </c>
      <c r="X126" s="78">
        <f t="shared" si="120"/>
        <v>0.14720616570327552</v>
      </c>
      <c r="Y126" s="78">
        <f t="shared" si="120"/>
        <v>0.14715316760224539</v>
      </c>
      <c r="Z126" s="78">
        <f t="shared" si="120"/>
        <v>0.1351572070232748</v>
      </c>
      <c r="AA126" s="56">
        <f t="shared" si="120"/>
        <v>0.14983459817085035</v>
      </c>
      <c r="AB126" s="78">
        <f t="shared" si="120"/>
        <v>0.12016632016632017</v>
      </c>
      <c r="AC126" s="78">
        <f t="shared" si="120"/>
        <v>0.12803062526584433</v>
      </c>
      <c r="AD126" s="78">
        <f t="shared" si="120"/>
        <v>0.13344453711426188</v>
      </c>
      <c r="AE126" s="78">
        <f t="shared" si="120"/>
        <v>0.13200498132004981</v>
      </c>
      <c r="AF126" s="56">
        <v>0.1284115863222838</v>
      </c>
      <c r="AG126" s="78">
        <v>0.13630463003028992</v>
      </c>
      <c r="AH126" s="78">
        <v>0.14355555555555555</v>
      </c>
      <c r="AI126" s="78">
        <v>0.1442652329749104</v>
      </c>
      <c r="AJ126" s="78">
        <v>0.13925729442970822</v>
      </c>
      <c r="AK126" s="56">
        <v>0.14080618442849255</v>
      </c>
      <c r="AL126" s="78">
        <v>0.16927322907083717</v>
      </c>
      <c r="AM126" s="78">
        <v>0.19631194775259317</v>
      </c>
      <c r="AN126" s="78">
        <v>0.16410453497309763</v>
      </c>
      <c r="AO126" s="78">
        <v>0.12624712202609362</v>
      </c>
      <c r="AP126" s="56">
        <v>0.16374561842764146</v>
      </c>
      <c r="AQ126" s="78">
        <v>0.13481828839390386</v>
      </c>
      <c r="AR126" s="78">
        <v>0.15412186379928317</v>
      </c>
      <c r="AS126" s="78">
        <v>0.13904382470119522</v>
      </c>
      <c r="AT126" s="78">
        <v>0.13378594249201278</v>
      </c>
      <c r="AU126" s="56">
        <v>0.14042046806822689</v>
      </c>
      <c r="AV126" s="78">
        <v>0.15491235222176927</v>
      </c>
      <c r="AW126" s="78">
        <v>0.16483962647178238</v>
      </c>
      <c r="AX126" s="78">
        <v>0.14616977225672878</v>
      </c>
      <c r="AY126" s="78">
        <v>0.15907241659886087</v>
      </c>
      <c r="AZ126" s="56">
        <v>0.15629788538155073</v>
      </c>
      <c r="BA126" s="78">
        <v>0.15586615840745446</v>
      </c>
      <c r="BB126" s="78">
        <v>0.22760394342048865</v>
      </c>
      <c r="BC126" s="78">
        <v>0.17905258583224684</v>
      </c>
      <c r="BD126" s="78">
        <v>0.17884780739466896</v>
      </c>
      <c r="BE126" s="56">
        <v>0.18528054929728571</v>
      </c>
    </row>
    <row r="127" spans="1:16384" ht="3" customHeight="1">
      <c r="A127" s="44"/>
      <c r="B127" s="44"/>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AX127" s="45"/>
      <c r="AY127" s="45"/>
      <c r="AZ127" s="45"/>
      <c r="BA127" s="45"/>
      <c r="BB127" s="45"/>
      <c r="BC127" s="45"/>
      <c r="BD127" s="45"/>
      <c r="BE127" s="45"/>
    </row>
    <row r="128" spans="1:16384" ht="3" hidden="1" customHeight="1">
      <c r="A128" s="44"/>
      <c r="B128" s="44"/>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AX128" s="45"/>
      <c r="AY128" s="45"/>
      <c r="AZ128" s="45"/>
      <c r="BA128" s="45"/>
      <c r="BB128" s="45"/>
      <c r="BC128" s="45"/>
      <c r="BD128" s="45"/>
      <c r="BE128" s="45"/>
    </row>
    <row r="129" spans="1:57" ht="3" customHeight="1">
      <c r="A129" s="44"/>
      <c r="B129" s="44"/>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row>
    <row r="130" spans="1:57" ht="18" customHeight="1">
      <c r="A130" s="35" t="s">
        <v>98</v>
      </c>
      <c r="B130" s="35"/>
      <c r="C130" s="27"/>
      <c r="D130" s="27"/>
      <c r="E130" s="27"/>
      <c r="F130" s="27"/>
      <c r="G130" s="27"/>
      <c r="H130" s="27"/>
      <c r="I130" s="27"/>
      <c r="J130" s="27"/>
      <c r="K130" s="27"/>
      <c r="L130" s="27"/>
      <c r="M130" s="27"/>
      <c r="N130" s="27"/>
      <c r="O130" s="27"/>
      <c r="P130" s="27"/>
      <c r="Q130" s="27"/>
      <c r="R130" s="27"/>
      <c r="S130" s="27"/>
      <c r="T130" s="27"/>
      <c r="U130" s="21"/>
      <c r="V130" s="21"/>
      <c r="W130" s="27"/>
      <c r="X130" s="27"/>
      <c r="Y130" s="27"/>
      <c r="Z130" s="21"/>
      <c r="AA130" s="21"/>
      <c r="AB130" s="21"/>
      <c r="AC130" s="27"/>
      <c r="AD130" s="27"/>
      <c r="AE130" s="21"/>
      <c r="AF130" s="21"/>
      <c r="AG130" s="21"/>
      <c r="AH130" s="27"/>
      <c r="AI130" s="27"/>
      <c r="AJ130" s="21"/>
      <c r="AK130" s="21"/>
      <c r="AL130" s="21"/>
      <c r="AM130" s="27"/>
      <c r="AN130" s="27"/>
      <c r="AO130" s="21"/>
      <c r="AP130" s="21"/>
      <c r="AQ130" s="21"/>
      <c r="AR130" s="27"/>
      <c r="AS130" s="27"/>
      <c r="AT130" s="21"/>
      <c r="AU130" s="21"/>
      <c r="AV130" s="21"/>
      <c r="AW130" s="21"/>
      <c r="AX130" s="21"/>
      <c r="AY130" s="21"/>
      <c r="AZ130" s="21"/>
      <c r="BA130" s="21"/>
      <c r="BB130" s="21"/>
      <c r="BC130" s="21"/>
      <c r="BD130" s="21"/>
      <c r="BE130" s="21"/>
    </row>
    <row r="131" spans="1:57" ht="3.6" customHeight="1">
      <c r="A131" s="61"/>
      <c r="B131" s="61"/>
      <c r="C131" s="62"/>
      <c r="D131" s="62"/>
      <c r="E131" s="62"/>
      <c r="F131" s="62"/>
      <c r="G131" s="62"/>
      <c r="H131" s="62"/>
      <c r="I131" s="62"/>
      <c r="J131" s="62"/>
      <c r="K131" s="62"/>
      <c r="L131" s="62"/>
      <c r="M131" s="62"/>
      <c r="N131" s="62"/>
      <c r="O131" s="62"/>
      <c r="P131" s="62"/>
      <c r="Q131" s="62"/>
      <c r="R131" s="62"/>
      <c r="S131" s="62"/>
      <c r="T131" s="62"/>
      <c r="U131" s="61"/>
      <c r="V131" s="61"/>
      <c r="W131" s="62"/>
      <c r="X131" s="62"/>
      <c r="Y131" s="62"/>
      <c r="Z131" s="61"/>
      <c r="AA131" s="61"/>
      <c r="AB131" s="61"/>
      <c r="AC131" s="62"/>
      <c r="AD131" s="62"/>
      <c r="AE131" s="61"/>
      <c r="AF131" s="61"/>
      <c r="AG131" s="61"/>
      <c r="AH131" s="62"/>
      <c r="AI131" s="62"/>
      <c r="AJ131" s="61"/>
      <c r="AK131" s="61"/>
      <c r="AL131" s="61"/>
      <c r="AM131" s="62"/>
      <c r="AN131" s="62"/>
      <c r="AO131" s="61"/>
      <c r="AP131" s="61"/>
      <c r="AQ131" s="61"/>
      <c r="AR131" s="62"/>
      <c r="AS131" s="62"/>
      <c r="AT131" s="61"/>
      <c r="AU131" s="61"/>
      <c r="AV131" s="61"/>
      <c r="AW131" s="61"/>
      <c r="AX131" s="61"/>
      <c r="AY131" s="61"/>
      <c r="AZ131" s="61"/>
      <c r="BA131" s="61"/>
      <c r="BB131" s="61"/>
      <c r="BC131" s="61"/>
      <c r="BD131" s="61"/>
      <c r="BE131" s="61"/>
    </row>
    <row r="132" spans="1:57" ht="15" customHeight="1">
      <c r="A132" s="40" t="s">
        <v>245</v>
      </c>
      <c r="B132" s="41"/>
      <c r="C132" s="49"/>
      <c r="D132" s="49"/>
      <c r="E132" s="49"/>
      <c r="F132" s="49"/>
      <c r="G132" s="41"/>
      <c r="H132" s="49"/>
      <c r="I132" s="49"/>
      <c r="J132" s="49"/>
      <c r="K132" s="49"/>
      <c r="L132" s="41"/>
      <c r="M132" s="49"/>
      <c r="N132" s="49"/>
      <c r="O132" s="49"/>
      <c r="P132" s="49"/>
      <c r="Q132" s="41"/>
      <c r="R132" s="49"/>
      <c r="S132" s="49"/>
      <c r="T132" s="49"/>
      <c r="U132" s="49"/>
      <c r="V132" s="41"/>
      <c r="W132" s="49"/>
      <c r="X132" s="49"/>
      <c r="Y132" s="49"/>
      <c r="Z132" s="49"/>
      <c r="AA132" s="41"/>
      <c r="AB132" s="49"/>
      <c r="AC132" s="49"/>
      <c r="AD132" s="49"/>
      <c r="AE132" s="49"/>
      <c r="AF132" s="41"/>
      <c r="AG132" s="49"/>
      <c r="AH132" s="49"/>
      <c r="AI132" s="49"/>
      <c r="AJ132" s="49"/>
      <c r="AK132" s="41"/>
      <c r="AL132" s="49"/>
      <c r="AM132" s="49"/>
      <c r="AN132" s="49"/>
      <c r="AO132" s="49"/>
      <c r="AP132" s="41"/>
      <c r="AQ132" s="49"/>
      <c r="AR132" s="49"/>
      <c r="AS132" s="49"/>
      <c r="AT132" s="49"/>
      <c r="AU132" s="41"/>
      <c r="AV132" s="49"/>
      <c r="AW132" s="49"/>
      <c r="AX132" s="49"/>
      <c r="AY132" s="49"/>
      <c r="AZ132" s="41"/>
      <c r="BA132" s="49"/>
      <c r="BB132" s="49"/>
      <c r="BC132" s="49"/>
      <c r="BD132" s="49"/>
      <c r="BE132" s="41"/>
    </row>
    <row r="133" spans="1:57" ht="15" customHeight="1">
      <c r="A133" s="69" t="s">
        <v>216</v>
      </c>
      <c r="B133" s="123" t="s">
        <v>44</v>
      </c>
      <c r="C133" s="80" t="s">
        <v>52</v>
      </c>
      <c r="D133" s="80" t="s">
        <v>52</v>
      </c>
      <c r="E133" s="80" t="s">
        <v>52</v>
      </c>
      <c r="F133" s="80" t="s">
        <v>52</v>
      </c>
      <c r="G133" s="123" t="s">
        <v>44</v>
      </c>
      <c r="H133" s="80" t="s">
        <v>52</v>
      </c>
      <c r="I133" s="80" t="s">
        <v>52</v>
      </c>
      <c r="J133" s="80" t="s">
        <v>52</v>
      </c>
      <c r="K133" s="80" t="s">
        <v>52</v>
      </c>
      <c r="L133" s="123" t="s">
        <v>44</v>
      </c>
      <c r="M133" s="80" t="s">
        <v>52</v>
      </c>
      <c r="N133" s="80" t="s">
        <v>52</v>
      </c>
      <c r="O133" s="80" t="s">
        <v>52</v>
      </c>
      <c r="P133" s="80" t="s">
        <v>52</v>
      </c>
      <c r="Q133" s="123" t="s">
        <v>44</v>
      </c>
      <c r="R133" s="80" t="s">
        <v>52</v>
      </c>
      <c r="S133" s="80" t="s">
        <v>52</v>
      </c>
      <c r="T133" s="80" t="s">
        <v>52</v>
      </c>
      <c r="U133" s="80" t="s">
        <v>52</v>
      </c>
      <c r="V133" s="123" t="s">
        <v>44</v>
      </c>
      <c r="W133" s="80" t="s">
        <v>52</v>
      </c>
      <c r="X133" s="80" t="s">
        <v>52</v>
      </c>
      <c r="Y133" s="80" t="s">
        <v>52</v>
      </c>
      <c r="Z133" s="80" t="s">
        <v>52</v>
      </c>
      <c r="AA133" s="123" t="s">
        <v>44</v>
      </c>
      <c r="AB133" s="80" t="s">
        <v>52</v>
      </c>
      <c r="AC133" s="80" t="s">
        <v>52</v>
      </c>
      <c r="AD133" s="80" t="s">
        <v>52</v>
      </c>
      <c r="AE133" s="80" t="s">
        <v>52</v>
      </c>
      <c r="AF133" s="123" t="s">
        <v>44</v>
      </c>
      <c r="AG133" s="80" t="s">
        <v>52</v>
      </c>
      <c r="AH133" s="80" t="s">
        <v>52</v>
      </c>
      <c r="AI133" s="80" t="s">
        <v>52</v>
      </c>
      <c r="AJ133" s="80" t="s">
        <v>52</v>
      </c>
      <c r="AK133" s="123" t="s">
        <v>44</v>
      </c>
      <c r="AL133" s="80" t="s">
        <v>52</v>
      </c>
      <c r="AM133" s="80" t="s">
        <v>52</v>
      </c>
      <c r="AN133" s="80" t="s">
        <v>52</v>
      </c>
      <c r="AO133" s="80" t="s">
        <v>52</v>
      </c>
      <c r="AP133" s="171">
        <v>555</v>
      </c>
      <c r="AQ133" s="152">
        <v>1221</v>
      </c>
      <c r="AR133" s="152">
        <v>1338</v>
      </c>
      <c r="AS133" s="152">
        <v>938</v>
      </c>
      <c r="AT133" s="152">
        <v>648</v>
      </c>
      <c r="AU133" s="171">
        <v>648</v>
      </c>
      <c r="AV133" s="152">
        <v>792</v>
      </c>
      <c r="AW133" s="152">
        <v>1854</v>
      </c>
      <c r="AX133" s="152">
        <v>2471</v>
      </c>
      <c r="AY133" s="152">
        <v>2181</v>
      </c>
      <c r="AZ133" s="171">
        <v>2181</v>
      </c>
      <c r="BA133" s="152">
        <v>1826</v>
      </c>
      <c r="BB133" s="152">
        <v>923</v>
      </c>
      <c r="BC133" s="152">
        <v>1408</v>
      </c>
      <c r="BD133" s="152">
        <v>890</v>
      </c>
      <c r="BE133" s="171">
        <v>890</v>
      </c>
    </row>
    <row r="134" spans="1:57" ht="15" customHeight="1">
      <c r="A134" s="69" t="s">
        <v>217</v>
      </c>
      <c r="B134" s="123" t="s">
        <v>44</v>
      </c>
      <c r="C134" s="80" t="s">
        <v>52</v>
      </c>
      <c r="D134" s="80" t="s">
        <v>52</v>
      </c>
      <c r="E134" s="80" t="s">
        <v>52</v>
      </c>
      <c r="F134" s="80" t="s">
        <v>52</v>
      </c>
      <c r="G134" s="123" t="s">
        <v>44</v>
      </c>
      <c r="H134" s="80" t="s">
        <v>52</v>
      </c>
      <c r="I134" s="80" t="s">
        <v>52</v>
      </c>
      <c r="J134" s="80" t="s">
        <v>52</v>
      </c>
      <c r="K134" s="80" t="s">
        <v>52</v>
      </c>
      <c r="L134" s="123" t="s">
        <v>44</v>
      </c>
      <c r="M134" s="80" t="s">
        <v>52</v>
      </c>
      <c r="N134" s="80" t="s">
        <v>52</v>
      </c>
      <c r="O134" s="80" t="s">
        <v>52</v>
      </c>
      <c r="P134" s="80" t="s">
        <v>52</v>
      </c>
      <c r="Q134" s="123" t="s">
        <v>44</v>
      </c>
      <c r="R134" s="80" t="s">
        <v>52</v>
      </c>
      <c r="S134" s="80" t="s">
        <v>52</v>
      </c>
      <c r="T134" s="80" t="s">
        <v>52</v>
      </c>
      <c r="U134" s="80" t="s">
        <v>52</v>
      </c>
      <c r="V134" s="123" t="s">
        <v>44</v>
      </c>
      <c r="W134" s="80" t="s">
        <v>52</v>
      </c>
      <c r="X134" s="80" t="s">
        <v>52</v>
      </c>
      <c r="Y134" s="80" t="s">
        <v>52</v>
      </c>
      <c r="Z134" s="80" t="s">
        <v>52</v>
      </c>
      <c r="AA134" s="123" t="s">
        <v>44</v>
      </c>
      <c r="AB134" s="80" t="s">
        <v>52</v>
      </c>
      <c r="AC134" s="80" t="s">
        <v>52</v>
      </c>
      <c r="AD134" s="80" t="s">
        <v>52</v>
      </c>
      <c r="AE134" s="80" t="s">
        <v>52</v>
      </c>
      <c r="AF134" s="123" t="s">
        <v>44</v>
      </c>
      <c r="AG134" s="80" t="s">
        <v>52</v>
      </c>
      <c r="AH134" s="80" t="s">
        <v>52</v>
      </c>
      <c r="AI134" s="80" t="s">
        <v>52</v>
      </c>
      <c r="AJ134" s="80" t="s">
        <v>52</v>
      </c>
      <c r="AK134" s="123" t="s">
        <v>44</v>
      </c>
      <c r="AL134" s="80" t="s">
        <v>52</v>
      </c>
      <c r="AM134" s="80" t="s">
        <v>52</v>
      </c>
      <c r="AN134" s="80" t="s">
        <v>52</v>
      </c>
      <c r="AO134" s="80" t="s">
        <v>52</v>
      </c>
      <c r="AP134" s="171">
        <v>762</v>
      </c>
      <c r="AQ134" s="152">
        <v>556</v>
      </c>
      <c r="AR134" s="152">
        <v>912</v>
      </c>
      <c r="AS134" s="152">
        <v>908</v>
      </c>
      <c r="AT134" s="152">
        <v>586</v>
      </c>
      <c r="AU134" s="171">
        <v>586</v>
      </c>
      <c r="AV134" s="152">
        <v>578</v>
      </c>
      <c r="AW134" s="152">
        <v>19</v>
      </c>
      <c r="AX134" s="152">
        <v>94</v>
      </c>
      <c r="AY134" s="152">
        <v>289</v>
      </c>
      <c r="AZ134" s="171">
        <v>289</v>
      </c>
      <c r="BA134" s="152">
        <v>1390</v>
      </c>
      <c r="BB134" s="152">
        <v>1676</v>
      </c>
      <c r="BC134" s="152">
        <v>1517</v>
      </c>
      <c r="BD134" s="152">
        <v>1404</v>
      </c>
      <c r="BE134" s="171">
        <v>1404</v>
      </c>
    </row>
    <row r="135" spans="1:57" ht="15" customHeight="1">
      <c r="A135" s="69" t="s">
        <v>218</v>
      </c>
      <c r="B135" s="123" t="s">
        <v>44</v>
      </c>
      <c r="C135" s="80" t="s">
        <v>52</v>
      </c>
      <c r="D135" s="80" t="s">
        <v>52</v>
      </c>
      <c r="E135" s="80" t="s">
        <v>52</v>
      </c>
      <c r="F135" s="80" t="s">
        <v>52</v>
      </c>
      <c r="G135" s="123" t="s">
        <v>44</v>
      </c>
      <c r="H135" s="80" t="s">
        <v>52</v>
      </c>
      <c r="I135" s="80" t="s">
        <v>52</v>
      </c>
      <c r="J135" s="80" t="s">
        <v>52</v>
      </c>
      <c r="K135" s="80" t="s">
        <v>52</v>
      </c>
      <c r="L135" s="123" t="s">
        <v>44</v>
      </c>
      <c r="M135" s="80" t="s">
        <v>52</v>
      </c>
      <c r="N135" s="80" t="s">
        <v>52</v>
      </c>
      <c r="O135" s="80" t="s">
        <v>52</v>
      </c>
      <c r="P135" s="80" t="s">
        <v>52</v>
      </c>
      <c r="Q135" s="123" t="s">
        <v>44</v>
      </c>
      <c r="R135" s="80" t="s">
        <v>52</v>
      </c>
      <c r="S135" s="80" t="s">
        <v>52</v>
      </c>
      <c r="T135" s="80" t="s">
        <v>52</v>
      </c>
      <c r="U135" s="80" t="s">
        <v>52</v>
      </c>
      <c r="V135" s="123" t="s">
        <v>44</v>
      </c>
      <c r="W135" s="80" t="s">
        <v>52</v>
      </c>
      <c r="X135" s="80" t="s">
        <v>52</v>
      </c>
      <c r="Y135" s="80" t="s">
        <v>52</v>
      </c>
      <c r="Z135" s="80" t="s">
        <v>52</v>
      </c>
      <c r="AA135" s="123" t="s">
        <v>44</v>
      </c>
      <c r="AB135" s="80" t="s">
        <v>52</v>
      </c>
      <c r="AC135" s="80" t="s">
        <v>52</v>
      </c>
      <c r="AD135" s="80" t="s">
        <v>52</v>
      </c>
      <c r="AE135" s="80" t="s">
        <v>52</v>
      </c>
      <c r="AF135" s="123" t="s">
        <v>44</v>
      </c>
      <c r="AG135" s="80" t="s">
        <v>52</v>
      </c>
      <c r="AH135" s="80" t="s">
        <v>52</v>
      </c>
      <c r="AI135" s="80" t="s">
        <v>52</v>
      </c>
      <c r="AJ135" s="80" t="s">
        <v>52</v>
      </c>
      <c r="AK135" s="123" t="s">
        <v>44</v>
      </c>
      <c r="AL135" s="80" t="s">
        <v>52</v>
      </c>
      <c r="AM135" s="80" t="s">
        <v>52</v>
      </c>
      <c r="AN135" s="80" t="s">
        <v>52</v>
      </c>
      <c r="AO135" s="80" t="s">
        <v>52</v>
      </c>
      <c r="AP135" s="171">
        <v>2058</v>
      </c>
      <c r="AQ135" s="152">
        <v>2042</v>
      </c>
      <c r="AR135" s="152">
        <v>2029</v>
      </c>
      <c r="AS135" s="152">
        <v>1998</v>
      </c>
      <c r="AT135" s="152">
        <v>2000</v>
      </c>
      <c r="AU135" s="171">
        <v>2000</v>
      </c>
      <c r="AV135" s="152">
        <v>1976</v>
      </c>
      <c r="AW135" s="152">
        <v>1991</v>
      </c>
      <c r="AX135" s="152">
        <v>1948</v>
      </c>
      <c r="AY135" s="152">
        <v>1915</v>
      </c>
      <c r="AZ135" s="171">
        <v>1915</v>
      </c>
      <c r="BA135" s="152">
        <v>1827</v>
      </c>
      <c r="BB135" s="152">
        <v>1822</v>
      </c>
      <c r="BC135" s="152">
        <v>1792</v>
      </c>
      <c r="BD135" s="152">
        <v>1773</v>
      </c>
      <c r="BE135" s="171">
        <v>1773</v>
      </c>
    </row>
    <row r="136" spans="1:57" ht="15" customHeight="1">
      <c r="A136" s="69" t="s">
        <v>219</v>
      </c>
      <c r="B136" s="123" t="s">
        <v>44</v>
      </c>
      <c r="C136" s="80" t="s">
        <v>52</v>
      </c>
      <c r="D136" s="80" t="s">
        <v>52</v>
      </c>
      <c r="E136" s="80" t="s">
        <v>52</v>
      </c>
      <c r="F136" s="80" t="s">
        <v>52</v>
      </c>
      <c r="G136" s="123" t="s">
        <v>44</v>
      </c>
      <c r="H136" s="80" t="s">
        <v>52</v>
      </c>
      <c r="I136" s="80" t="s">
        <v>52</v>
      </c>
      <c r="J136" s="80" t="s">
        <v>52</v>
      </c>
      <c r="K136" s="80" t="s">
        <v>52</v>
      </c>
      <c r="L136" s="123" t="s">
        <v>44</v>
      </c>
      <c r="M136" s="80" t="s">
        <v>52</v>
      </c>
      <c r="N136" s="80" t="s">
        <v>52</v>
      </c>
      <c r="O136" s="80" t="s">
        <v>52</v>
      </c>
      <c r="P136" s="80" t="s">
        <v>52</v>
      </c>
      <c r="Q136" s="123" t="s">
        <v>44</v>
      </c>
      <c r="R136" s="80" t="s">
        <v>52</v>
      </c>
      <c r="S136" s="80" t="s">
        <v>52</v>
      </c>
      <c r="T136" s="80" t="s">
        <v>52</v>
      </c>
      <c r="U136" s="80" t="s">
        <v>52</v>
      </c>
      <c r="V136" s="123" t="s">
        <v>44</v>
      </c>
      <c r="W136" s="80" t="s">
        <v>52</v>
      </c>
      <c r="X136" s="80" t="s">
        <v>52</v>
      </c>
      <c r="Y136" s="80" t="s">
        <v>52</v>
      </c>
      <c r="Z136" s="80" t="s">
        <v>52</v>
      </c>
      <c r="AA136" s="123" t="s">
        <v>44</v>
      </c>
      <c r="AB136" s="80" t="s">
        <v>52</v>
      </c>
      <c r="AC136" s="80" t="s">
        <v>52</v>
      </c>
      <c r="AD136" s="80" t="s">
        <v>52</v>
      </c>
      <c r="AE136" s="80" t="s">
        <v>52</v>
      </c>
      <c r="AF136" s="123" t="s">
        <v>44</v>
      </c>
      <c r="AG136" s="80" t="s">
        <v>52</v>
      </c>
      <c r="AH136" s="80" t="s">
        <v>52</v>
      </c>
      <c r="AI136" s="80" t="s">
        <v>52</v>
      </c>
      <c r="AJ136" s="80" t="s">
        <v>52</v>
      </c>
      <c r="AK136" s="123" t="s">
        <v>44</v>
      </c>
      <c r="AL136" s="80" t="s">
        <v>52</v>
      </c>
      <c r="AM136" s="80" t="s">
        <v>52</v>
      </c>
      <c r="AN136" s="80" t="s">
        <v>52</v>
      </c>
      <c r="AO136" s="80" t="s">
        <v>52</v>
      </c>
      <c r="AP136" s="171">
        <v>269</v>
      </c>
      <c r="AQ136" s="152">
        <v>299</v>
      </c>
      <c r="AR136" s="152">
        <v>205</v>
      </c>
      <c r="AS136" s="152">
        <v>191</v>
      </c>
      <c r="AT136" s="152">
        <v>219</v>
      </c>
      <c r="AU136" s="171">
        <v>219</v>
      </c>
      <c r="AV136" s="152">
        <v>297</v>
      </c>
      <c r="AW136" s="152">
        <v>347</v>
      </c>
      <c r="AX136" s="152">
        <v>294</v>
      </c>
      <c r="AY136" s="152">
        <v>270</v>
      </c>
      <c r="AZ136" s="171">
        <v>270</v>
      </c>
      <c r="BA136" s="152">
        <v>306</v>
      </c>
      <c r="BB136" s="152">
        <v>288</v>
      </c>
      <c r="BC136" s="152">
        <v>292</v>
      </c>
      <c r="BD136" s="152">
        <v>267</v>
      </c>
      <c r="BE136" s="171">
        <v>267</v>
      </c>
    </row>
    <row r="137" spans="1:57" ht="15" customHeight="1">
      <c r="A137" s="69" t="s">
        <v>220</v>
      </c>
      <c r="B137" s="123" t="s">
        <v>44</v>
      </c>
      <c r="C137" s="80" t="s">
        <v>52</v>
      </c>
      <c r="D137" s="80" t="s">
        <v>52</v>
      </c>
      <c r="E137" s="80" t="s">
        <v>52</v>
      </c>
      <c r="F137" s="80" t="s">
        <v>52</v>
      </c>
      <c r="G137" s="123" t="s">
        <v>44</v>
      </c>
      <c r="H137" s="80" t="s">
        <v>52</v>
      </c>
      <c r="I137" s="80" t="s">
        <v>52</v>
      </c>
      <c r="J137" s="80" t="s">
        <v>52</v>
      </c>
      <c r="K137" s="80" t="s">
        <v>52</v>
      </c>
      <c r="L137" s="123" t="s">
        <v>44</v>
      </c>
      <c r="M137" s="80" t="s">
        <v>52</v>
      </c>
      <c r="N137" s="80" t="s">
        <v>52</v>
      </c>
      <c r="O137" s="80" t="s">
        <v>52</v>
      </c>
      <c r="P137" s="80" t="s">
        <v>52</v>
      </c>
      <c r="Q137" s="123" t="s">
        <v>44</v>
      </c>
      <c r="R137" s="80" t="s">
        <v>52</v>
      </c>
      <c r="S137" s="80" t="s">
        <v>52</v>
      </c>
      <c r="T137" s="80" t="s">
        <v>52</v>
      </c>
      <c r="U137" s="80" t="s">
        <v>52</v>
      </c>
      <c r="V137" s="123" t="s">
        <v>44</v>
      </c>
      <c r="W137" s="80" t="s">
        <v>52</v>
      </c>
      <c r="X137" s="80" t="s">
        <v>52</v>
      </c>
      <c r="Y137" s="80" t="s">
        <v>52</v>
      </c>
      <c r="Z137" s="80" t="s">
        <v>52</v>
      </c>
      <c r="AA137" s="123" t="s">
        <v>44</v>
      </c>
      <c r="AB137" s="80" t="s">
        <v>52</v>
      </c>
      <c r="AC137" s="80" t="s">
        <v>52</v>
      </c>
      <c r="AD137" s="80" t="s">
        <v>52</v>
      </c>
      <c r="AE137" s="80" t="s">
        <v>52</v>
      </c>
      <c r="AF137" s="123" t="s">
        <v>44</v>
      </c>
      <c r="AG137" s="80" t="s">
        <v>52</v>
      </c>
      <c r="AH137" s="80" t="s">
        <v>52</v>
      </c>
      <c r="AI137" s="80" t="s">
        <v>52</v>
      </c>
      <c r="AJ137" s="80" t="s">
        <v>52</v>
      </c>
      <c r="AK137" s="123" t="s">
        <v>44</v>
      </c>
      <c r="AL137" s="80" t="s">
        <v>52</v>
      </c>
      <c r="AM137" s="80" t="s">
        <v>52</v>
      </c>
      <c r="AN137" s="80" t="s">
        <v>52</v>
      </c>
      <c r="AO137" s="80" t="s">
        <v>52</v>
      </c>
      <c r="AP137" s="215" t="s">
        <v>147</v>
      </c>
      <c r="AQ137" s="151" t="s">
        <v>147</v>
      </c>
      <c r="AR137" s="152">
        <v>29</v>
      </c>
      <c r="AS137" s="152">
        <v>29</v>
      </c>
      <c r="AT137" s="151" t="s">
        <v>147</v>
      </c>
      <c r="AU137" s="215" t="s">
        <v>147</v>
      </c>
      <c r="AV137" s="151">
        <v>35</v>
      </c>
      <c r="AW137" s="152">
        <v>56</v>
      </c>
      <c r="AX137" s="152">
        <v>43</v>
      </c>
      <c r="AY137" s="152">
        <v>43</v>
      </c>
      <c r="AZ137" s="171">
        <v>43</v>
      </c>
      <c r="BA137" s="151">
        <v>25</v>
      </c>
      <c r="BB137" s="152">
        <v>25</v>
      </c>
      <c r="BC137" s="152">
        <v>20</v>
      </c>
      <c r="BD137" s="151" t="s">
        <v>147</v>
      </c>
      <c r="BE137" s="215" t="s">
        <v>147</v>
      </c>
    </row>
    <row r="138" spans="1:57" ht="15" customHeight="1">
      <c r="A138" s="69" t="s">
        <v>221</v>
      </c>
      <c r="B138" s="123" t="s">
        <v>44</v>
      </c>
      <c r="C138" s="80" t="s">
        <v>52</v>
      </c>
      <c r="D138" s="80" t="s">
        <v>52</v>
      </c>
      <c r="E138" s="80" t="s">
        <v>52</v>
      </c>
      <c r="F138" s="80" t="s">
        <v>52</v>
      </c>
      <c r="G138" s="123" t="s">
        <v>44</v>
      </c>
      <c r="H138" s="80" t="s">
        <v>52</v>
      </c>
      <c r="I138" s="80" t="s">
        <v>52</v>
      </c>
      <c r="J138" s="80" t="s">
        <v>52</v>
      </c>
      <c r="K138" s="80" t="s">
        <v>52</v>
      </c>
      <c r="L138" s="123" t="s">
        <v>44</v>
      </c>
      <c r="M138" s="80" t="s">
        <v>52</v>
      </c>
      <c r="N138" s="80" t="s">
        <v>52</v>
      </c>
      <c r="O138" s="80" t="s">
        <v>52</v>
      </c>
      <c r="P138" s="80" t="s">
        <v>52</v>
      </c>
      <c r="Q138" s="123" t="s">
        <v>44</v>
      </c>
      <c r="R138" s="80" t="s">
        <v>52</v>
      </c>
      <c r="S138" s="80" t="s">
        <v>52</v>
      </c>
      <c r="T138" s="80" t="s">
        <v>52</v>
      </c>
      <c r="U138" s="80" t="s">
        <v>52</v>
      </c>
      <c r="V138" s="123" t="s">
        <v>44</v>
      </c>
      <c r="W138" s="80" t="s">
        <v>52</v>
      </c>
      <c r="X138" s="80" t="s">
        <v>52</v>
      </c>
      <c r="Y138" s="80" t="s">
        <v>52</v>
      </c>
      <c r="Z138" s="80" t="s">
        <v>52</v>
      </c>
      <c r="AA138" s="123" t="s">
        <v>44</v>
      </c>
      <c r="AB138" s="80" t="s">
        <v>52</v>
      </c>
      <c r="AC138" s="80" t="s">
        <v>52</v>
      </c>
      <c r="AD138" s="80" t="s">
        <v>52</v>
      </c>
      <c r="AE138" s="80" t="s">
        <v>52</v>
      </c>
      <c r="AF138" s="123" t="s">
        <v>44</v>
      </c>
      <c r="AG138" s="80" t="s">
        <v>52</v>
      </c>
      <c r="AH138" s="80" t="s">
        <v>52</v>
      </c>
      <c r="AI138" s="80" t="s">
        <v>52</v>
      </c>
      <c r="AJ138" s="80" t="s">
        <v>52</v>
      </c>
      <c r="AK138" s="123" t="s">
        <v>44</v>
      </c>
      <c r="AL138" s="80" t="s">
        <v>52</v>
      </c>
      <c r="AM138" s="80" t="s">
        <v>52</v>
      </c>
      <c r="AN138" s="80" t="s">
        <v>52</v>
      </c>
      <c r="AO138" s="80" t="s">
        <v>52</v>
      </c>
      <c r="AP138" s="171">
        <v>115</v>
      </c>
      <c r="AQ138" s="152">
        <v>123</v>
      </c>
      <c r="AR138" s="152">
        <v>109</v>
      </c>
      <c r="AS138" s="152">
        <v>96</v>
      </c>
      <c r="AT138" s="152">
        <v>106</v>
      </c>
      <c r="AU138" s="171">
        <v>106</v>
      </c>
      <c r="AV138" s="152">
        <v>114</v>
      </c>
      <c r="AW138" s="152">
        <v>105</v>
      </c>
      <c r="AX138" s="152">
        <v>101</v>
      </c>
      <c r="AY138" s="152">
        <v>125</v>
      </c>
      <c r="AZ138" s="171">
        <v>125</v>
      </c>
      <c r="BA138" s="152">
        <v>130</v>
      </c>
      <c r="BB138" s="152">
        <v>96</v>
      </c>
      <c r="BC138" s="152">
        <v>86</v>
      </c>
      <c r="BD138" s="152">
        <v>97</v>
      </c>
      <c r="BE138" s="171">
        <v>97</v>
      </c>
    </row>
    <row r="139" spans="1:57" ht="15" customHeight="1">
      <c r="A139" s="40" t="s">
        <v>222</v>
      </c>
      <c r="B139" s="40"/>
      <c r="C139" s="214"/>
      <c r="D139" s="214"/>
      <c r="E139" s="214"/>
      <c r="F139" s="214"/>
      <c r="G139" s="40"/>
      <c r="H139" s="214"/>
      <c r="I139" s="214"/>
      <c r="J139" s="214"/>
      <c r="K139" s="214"/>
      <c r="L139" s="40"/>
      <c r="M139" s="214"/>
      <c r="N139" s="214"/>
      <c r="O139" s="214"/>
      <c r="P139" s="214"/>
      <c r="Q139" s="40"/>
      <c r="R139" s="214"/>
      <c r="S139" s="214"/>
      <c r="T139" s="214"/>
      <c r="U139" s="214"/>
      <c r="V139" s="40"/>
      <c r="W139" s="214"/>
      <c r="X139" s="214"/>
      <c r="Y139" s="214"/>
      <c r="Z139" s="214"/>
      <c r="AA139" s="40"/>
      <c r="AB139" s="214"/>
      <c r="AC139" s="214"/>
      <c r="AD139" s="214"/>
      <c r="AE139" s="214"/>
      <c r="AF139" s="40"/>
      <c r="AG139" s="214"/>
      <c r="AH139" s="214"/>
      <c r="AI139" s="214"/>
      <c r="AJ139" s="214"/>
      <c r="AK139" s="214"/>
      <c r="AL139" s="214"/>
      <c r="AM139" s="214"/>
      <c r="AN139" s="214"/>
      <c r="AO139" s="214"/>
      <c r="AP139" s="214">
        <v>3759</v>
      </c>
      <c r="AQ139" s="214">
        <v>4241</v>
      </c>
      <c r="AR139" s="214">
        <v>4622</v>
      </c>
      <c r="AS139" s="214">
        <v>4160</v>
      </c>
      <c r="AT139" s="214">
        <v>3559</v>
      </c>
      <c r="AU139" s="214">
        <v>3559</v>
      </c>
      <c r="AV139" s="214">
        <v>3792</v>
      </c>
      <c r="AW139" s="214">
        <v>4372</v>
      </c>
      <c r="AX139" s="214">
        <v>4951</v>
      </c>
      <c r="AY139" s="214">
        <v>4823</v>
      </c>
      <c r="AZ139" s="214">
        <v>4823</v>
      </c>
      <c r="BA139" s="214">
        <v>5504</v>
      </c>
      <c r="BB139" s="214">
        <v>4830</v>
      </c>
      <c r="BC139" s="214">
        <v>5115</v>
      </c>
      <c r="BD139" s="214">
        <v>4431</v>
      </c>
      <c r="BE139" s="214">
        <v>4431</v>
      </c>
    </row>
    <row r="140" spans="1:57" ht="15" customHeight="1">
      <c r="A140" s="69" t="s">
        <v>223</v>
      </c>
      <c r="B140" s="123" t="s">
        <v>44</v>
      </c>
      <c r="C140" s="80" t="s">
        <v>52</v>
      </c>
      <c r="D140" s="80" t="s">
        <v>52</v>
      </c>
      <c r="E140" s="80" t="s">
        <v>52</v>
      </c>
      <c r="F140" s="80" t="s">
        <v>52</v>
      </c>
      <c r="G140" s="123" t="s">
        <v>44</v>
      </c>
      <c r="H140" s="80" t="s">
        <v>52</v>
      </c>
      <c r="I140" s="80" t="s">
        <v>52</v>
      </c>
      <c r="J140" s="80" t="s">
        <v>52</v>
      </c>
      <c r="K140" s="80" t="s">
        <v>52</v>
      </c>
      <c r="L140" s="123" t="s">
        <v>44</v>
      </c>
      <c r="M140" s="80" t="s">
        <v>52</v>
      </c>
      <c r="N140" s="80" t="s">
        <v>52</v>
      </c>
      <c r="O140" s="80" t="s">
        <v>52</v>
      </c>
      <c r="P140" s="80" t="s">
        <v>52</v>
      </c>
      <c r="Q140" s="123" t="s">
        <v>44</v>
      </c>
      <c r="R140" s="80" t="s">
        <v>52</v>
      </c>
      <c r="S140" s="80" t="s">
        <v>52</v>
      </c>
      <c r="T140" s="80" t="s">
        <v>52</v>
      </c>
      <c r="U140" s="80" t="s">
        <v>52</v>
      </c>
      <c r="V140" s="123" t="s">
        <v>44</v>
      </c>
      <c r="W140" s="80" t="s">
        <v>52</v>
      </c>
      <c r="X140" s="80" t="s">
        <v>52</v>
      </c>
      <c r="Y140" s="80" t="s">
        <v>52</v>
      </c>
      <c r="Z140" s="80" t="s">
        <v>52</v>
      </c>
      <c r="AA140" s="123" t="s">
        <v>44</v>
      </c>
      <c r="AB140" s="80" t="s">
        <v>52</v>
      </c>
      <c r="AC140" s="80" t="s">
        <v>52</v>
      </c>
      <c r="AD140" s="80" t="s">
        <v>52</v>
      </c>
      <c r="AE140" s="80" t="s">
        <v>52</v>
      </c>
      <c r="AF140" s="123" t="s">
        <v>44</v>
      </c>
      <c r="AG140" s="80" t="s">
        <v>52</v>
      </c>
      <c r="AH140" s="80" t="s">
        <v>52</v>
      </c>
      <c r="AI140" s="80" t="s">
        <v>52</v>
      </c>
      <c r="AJ140" s="80" t="s">
        <v>52</v>
      </c>
      <c r="AK140" s="123" t="s">
        <v>44</v>
      </c>
      <c r="AL140" s="80" t="s">
        <v>52</v>
      </c>
      <c r="AM140" s="80" t="s">
        <v>52</v>
      </c>
      <c r="AN140" s="80" t="s">
        <v>52</v>
      </c>
      <c r="AO140" s="80" t="s">
        <v>52</v>
      </c>
      <c r="AP140" s="171">
        <v>674</v>
      </c>
      <c r="AQ140" s="152">
        <v>662</v>
      </c>
      <c r="AR140" s="152">
        <v>647</v>
      </c>
      <c r="AS140" s="152">
        <v>641</v>
      </c>
      <c r="AT140" s="152">
        <v>644</v>
      </c>
      <c r="AU140" s="171">
        <v>644</v>
      </c>
      <c r="AV140" s="152">
        <v>595</v>
      </c>
      <c r="AW140" s="152">
        <v>507</v>
      </c>
      <c r="AX140" s="152">
        <v>520</v>
      </c>
      <c r="AY140" s="152">
        <v>493</v>
      </c>
      <c r="AZ140" s="171">
        <v>493</v>
      </c>
      <c r="BA140" s="152">
        <v>466</v>
      </c>
      <c r="BB140" s="152">
        <v>447</v>
      </c>
      <c r="BC140" s="152">
        <v>423</v>
      </c>
      <c r="BD140" s="152">
        <v>470</v>
      </c>
      <c r="BE140" s="171">
        <v>470</v>
      </c>
    </row>
    <row r="141" spans="1:57" ht="15" customHeight="1">
      <c r="A141" s="69" t="s">
        <v>224</v>
      </c>
      <c r="B141" s="123" t="s">
        <v>44</v>
      </c>
      <c r="C141" s="80" t="s">
        <v>52</v>
      </c>
      <c r="D141" s="80" t="s">
        <v>52</v>
      </c>
      <c r="E141" s="80" t="s">
        <v>52</v>
      </c>
      <c r="F141" s="80" t="s">
        <v>52</v>
      </c>
      <c r="G141" s="123" t="s">
        <v>44</v>
      </c>
      <c r="H141" s="80" t="s">
        <v>52</v>
      </c>
      <c r="I141" s="80" t="s">
        <v>52</v>
      </c>
      <c r="J141" s="80" t="s">
        <v>52</v>
      </c>
      <c r="K141" s="80" t="s">
        <v>52</v>
      </c>
      <c r="L141" s="123" t="s">
        <v>44</v>
      </c>
      <c r="M141" s="80" t="s">
        <v>52</v>
      </c>
      <c r="N141" s="80" t="s">
        <v>52</v>
      </c>
      <c r="O141" s="80" t="s">
        <v>52</v>
      </c>
      <c r="P141" s="80" t="s">
        <v>52</v>
      </c>
      <c r="Q141" s="123" t="s">
        <v>44</v>
      </c>
      <c r="R141" s="80" t="s">
        <v>52</v>
      </c>
      <c r="S141" s="80" t="s">
        <v>52</v>
      </c>
      <c r="T141" s="80" t="s">
        <v>52</v>
      </c>
      <c r="U141" s="80" t="s">
        <v>52</v>
      </c>
      <c r="V141" s="123" t="s">
        <v>44</v>
      </c>
      <c r="W141" s="80" t="s">
        <v>52</v>
      </c>
      <c r="X141" s="80" t="s">
        <v>52</v>
      </c>
      <c r="Y141" s="80" t="s">
        <v>52</v>
      </c>
      <c r="Z141" s="80" t="s">
        <v>52</v>
      </c>
      <c r="AA141" s="123" t="s">
        <v>44</v>
      </c>
      <c r="AB141" s="80" t="s">
        <v>52</v>
      </c>
      <c r="AC141" s="80" t="s">
        <v>52</v>
      </c>
      <c r="AD141" s="80" t="s">
        <v>52</v>
      </c>
      <c r="AE141" s="80" t="s">
        <v>52</v>
      </c>
      <c r="AF141" s="123" t="s">
        <v>44</v>
      </c>
      <c r="AG141" s="80" t="s">
        <v>52</v>
      </c>
      <c r="AH141" s="80" t="s">
        <v>52</v>
      </c>
      <c r="AI141" s="80" t="s">
        <v>52</v>
      </c>
      <c r="AJ141" s="80" t="s">
        <v>52</v>
      </c>
      <c r="AK141" s="123" t="s">
        <v>44</v>
      </c>
      <c r="AL141" s="80" t="s">
        <v>52</v>
      </c>
      <c r="AM141" s="80" t="s">
        <v>52</v>
      </c>
      <c r="AN141" s="80" t="s">
        <v>52</v>
      </c>
      <c r="AO141" s="80" t="s">
        <v>52</v>
      </c>
      <c r="AP141" s="171">
        <v>456</v>
      </c>
      <c r="AQ141" s="152">
        <v>456</v>
      </c>
      <c r="AR141" s="152">
        <v>455</v>
      </c>
      <c r="AS141" s="152">
        <v>450</v>
      </c>
      <c r="AT141" s="152">
        <v>432</v>
      </c>
      <c r="AU141" s="171">
        <v>432</v>
      </c>
      <c r="AV141" s="152">
        <v>438</v>
      </c>
      <c r="AW141" s="152">
        <v>456</v>
      </c>
      <c r="AX141" s="152">
        <v>457</v>
      </c>
      <c r="AY141" s="152">
        <v>454</v>
      </c>
      <c r="AZ141" s="171">
        <v>454</v>
      </c>
      <c r="BA141" s="152">
        <v>451</v>
      </c>
      <c r="BB141" s="152">
        <v>467</v>
      </c>
      <c r="BC141" s="152">
        <v>470</v>
      </c>
      <c r="BD141" s="152">
        <v>60</v>
      </c>
      <c r="BE141" s="171">
        <v>60</v>
      </c>
    </row>
    <row r="142" spans="1:57" ht="15" customHeight="1">
      <c r="A142" s="69" t="s">
        <v>259</v>
      </c>
      <c r="B142" s="123"/>
      <c r="C142" s="80"/>
      <c r="D142" s="80"/>
      <c r="E142" s="80"/>
      <c r="F142" s="80"/>
      <c r="G142" s="123"/>
      <c r="H142" s="80"/>
      <c r="I142" s="80"/>
      <c r="J142" s="80"/>
      <c r="K142" s="80"/>
      <c r="L142" s="123"/>
      <c r="M142" s="80"/>
      <c r="N142" s="80"/>
      <c r="O142" s="80"/>
      <c r="P142" s="80"/>
      <c r="Q142" s="123"/>
      <c r="R142" s="80"/>
      <c r="S142" s="80"/>
      <c r="T142" s="80"/>
      <c r="U142" s="80"/>
      <c r="V142" s="123"/>
      <c r="W142" s="80"/>
      <c r="X142" s="80"/>
      <c r="Y142" s="80"/>
      <c r="Z142" s="80"/>
      <c r="AA142" s="123"/>
      <c r="AB142" s="80"/>
      <c r="AC142" s="80"/>
      <c r="AD142" s="80"/>
      <c r="AE142" s="80"/>
      <c r="AF142" s="123"/>
      <c r="AG142" s="80"/>
      <c r="AH142" s="80"/>
      <c r="AI142" s="80"/>
      <c r="AJ142" s="80"/>
      <c r="AK142" s="123"/>
      <c r="AL142" s="80"/>
      <c r="AM142" s="80"/>
      <c r="AN142" s="80"/>
      <c r="AO142" s="80"/>
      <c r="AP142" s="171"/>
      <c r="AQ142" s="152"/>
      <c r="AR142" s="152"/>
      <c r="AS142" s="152"/>
      <c r="AT142" s="152"/>
      <c r="AU142" s="171"/>
      <c r="AV142" s="152"/>
      <c r="AW142" s="152"/>
      <c r="AX142" s="152"/>
      <c r="AY142" s="152"/>
      <c r="AZ142" s="171"/>
      <c r="BA142" s="152">
        <v>1417</v>
      </c>
      <c r="BB142" s="152">
        <v>1424</v>
      </c>
      <c r="BC142" s="152">
        <v>1434</v>
      </c>
      <c r="BD142" s="152">
        <v>1504</v>
      </c>
      <c r="BE142" s="171">
        <v>1504</v>
      </c>
    </row>
    <row r="143" spans="1:57" ht="15" customHeight="1">
      <c r="A143" s="69" t="s">
        <v>225</v>
      </c>
      <c r="B143" s="123" t="s">
        <v>44</v>
      </c>
      <c r="C143" s="80" t="s">
        <v>52</v>
      </c>
      <c r="D143" s="80" t="s">
        <v>52</v>
      </c>
      <c r="E143" s="80" t="s">
        <v>52</v>
      </c>
      <c r="F143" s="80" t="s">
        <v>52</v>
      </c>
      <c r="G143" s="123" t="s">
        <v>44</v>
      </c>
      <c r="H143" s="80" t="s">
        <v>52</v>
      </c>
      <c r="I143" s="80" t="s">
        <v>52</v>
      </c>
      <c r="J143" s="80" t="s">
        <v>52</v>
      </c>
      <c r="K143" s="80" t="s">
        <v>52</v>
      </c>
      <c r="L143" s="123" t="s">
        <v>44</v>
      </c>
      <c r="M143" s="80" t="s">
        <v>52</v>
      </c>
      <c r="N143" s="80" t="s">
        <v>52</v>
      </c>
      <c r="O143" s="80" t="s">
        <v>52</v>
      </c>
      <c r="P143" s="80" t="s">
        <v>52</v>
      </c>
      <c r="Q143" s="123" t="s">
        <v>44</v>
      </c>
      <c r="R143" s="80" t="s">
        <v>52</v>
      </c>
      <c r="S143" s="80" t="s">
        <v>52</v>
      </c>
      <c r="T143" s="80" t="s">
        <v>52</v>
      </c>
      <c r="U143" s="80" t="s">
        <v>52</v>
      </c>
      <c r="V143" s="123" t="s">
        <v>44</v>
      </c>
      <c r="W143" s="80" t="s">
        <v>52</v>
      </c>
      <c r="X143" s="80" t="s">
        <v>52</v>
      </c>
      <c r="Y143" s="80" t="s">
        <v>52</v>
      </c>
      <c r="Z143" s="80" t="s">
        <v>52</v>
      </c>
      <c r="AA143" s="123" t="s">
        <v>44</v>
      </c>
      <c r="AB143" s="80" t="s">
        <v>52</v>
      </c>
      <c r="AC143" s="80" t="s">
        <v>52</v>
      </c>
      <c r="AD143" s="80" t="s">
        <v>52</v>
      </c>
      <c r="AE143" s="80" t="s">
        <v>52</v>
      </c>
      <c r="AF143" s="123" t="s">
        <v>44</v>
      </c>
      <c r="AG143" s="80" t="s">
        <v>52</v>
      </c>
      <c r="AH143" s="80" t="s">
        <v>52</v>
      </c>
      <c r="AI143" s="80" t="s">
        <v>52</v>
      </c>
      <c r="AJ143" s="80" t="s">
        <v>52</v>
      </c>
      <c r="AK143" s="123" t="s">
        <v>44</v>
      </c>
      <c r="AL143" s="80" t="s">
        <v>52</v>
      </c>
      <c r="AM143" s="80" t="s">
        <v>52</v>
      </c>
      <c r="AN143" s="80" t="s">
        <v>52</v>
      </c>
      <c r="AO143" s="80" t="s">
        <v>52</v>
      </c>
      <c r="AP143" s="171">
        <v>6894</v>
      </c>
      <c r="AQ143" s="152">
        <v>6902</v>
      </c>
      <c r="AR143" s="152">
        <v>6872</v>
      </c>
      <c r="AS143" s="152">
        <v>6840</v>
      </c>
      <c r="AT143" s="152">
        <v>6876</v>
      </c>
      <c r="AU143" s="171">
        <v>6876</v>
      </c>
      <c r="AV143" s="152">
        <v>6886</v>
      </c>
      <c r="AW143" s="152">
        <v>6868</v>
      </c>
      <c r="AX143" s="152">
        <v>6817</v>
      </c>
      <c r="AY143" s="152">
        <v>6798</v>
      </c>
      <c r="AZ143" s="171">
        <v>6798</v>
      </c>
      <c r="BA143" s="152">
        <v>6782</v>
      </c>
      <c r="BB143" s="152">
        <v>6811</v>
      </c>
      <c r="BC143" s="152">
        <v>6789</v>
      </c>
      <c r="BD143" s="152">
        <v>6214</v>
      </c>
      <c r="BE143" s="171">
        <v>6214</v>
      </c>
    </row>
    <row r="144" spans="1:57" ht="15" customHeight="1">
      <c r="A144" s="69" t="s">
        <v>226</v>
      </c>
      <c r="B144" s="123" t="s">
        <v>44</v>
      </c>
      <c r="C144" s="80" t="s">
        <v>52</v>
      </c>
      <c r="D144" s="80" t="s">
        <v>52</v>
      </c>
      <c r="E144" s="80" t="s">
        <v>52</v>
      </c>
      <c r="F144" s="80" t="s">
        <v>52</v>
      </c>
      <c r="G144" s="123" t="s">
        <v>44</v>
      </c>
      <c r="H144" s="80" t="s">
        <v>52</v>
      </c>
      <c r="I144" s="80" t="s">
        <v>52</v>
      </c>
      <c r="J144" s="80" t="s">
        <v>52</v>
      </c>
      <c r="K144" s="80" t="s">
        <v>52</v>
      </c>
      <c r="L144" s="123" t="s">
        <v>44</v>
      </c>
      <c r="M144" s="80" t="s">
        <v>52</v>
      </c>
      <c r="N144" s="80" t="s">
        <v>52</v>
      </c>
      <c r="O144" s="80" t="s">
        <v>52</v>
      </c>
      <c r="P144" s="80" t="s">
        <v>52</v>
      </c>
      <c r="Q144" s="123" t="s">
        <v>44</v>
      </c>
      <c r="R144" s="80" t="s">
        <v>52</v>
      </c>
      <c r="S144" s="80" t="s">
        <v>52</v>
      </c>
      <c r="T144" s="80" t="s">
        <v>52</v>
      </c>
      <c r="U144" s="80" t="s">
        <v>52</v>
      </c>
      <c r="V144" s="123" t="s">
        <v>44</v>
      </c>
      <c r="W144" s="80" t="s">
        <v>52</v>
      </c>
      <c r="X144" s="80" t="s">
        <v>52</v>
      </c>
      <c r="Y144" s="80" t="s">
        <v>52</v>
      </c>
      <c r="Z144" s="80" t="s">
        <v>52</v>
      </c>
      <c r="AA144" s="123" t="s">
        <v>44</v>
      </c>
      <c r="AB144" s="80" t="s">
        <v>52</v>
      </c>
      <c r="AC144" s="80" t="s">
        <v>52</v>
      </c>
      <c r="AD144" s="80" t="s">
        <v>52</v>
      </c>
      <c r="AE144" s="80" t="s">
        <v>52</v>
      </c>
      <c r="AF144" s="123" t="s">
        <v>44</v>
      </c>
      <c r="AG144" s="80" t="s">
        <v>52</v>
      </c>
      <c r="AH144" s="80" t="s">
        <v>52</v>
      </c>
      <c r="AI144" s="80" t="s">
        <v>52</v>
      </c>
      <c r="AJ144" s="80" t="s">
        <v>52</v>
      </c>
      <c r="AK144" s="123" t="s">
        <v>44</v>
      </c>
      <c r="AL144" s="80" t="s">
        <v>52</v>
      </c>
      <c r="AM144" s="80" t="s">
        <v>52</v>
      </c>
      <c r="AN144" s="80" t="s">
        <v>52</v>
      </c>
      <c r="AO144" s="80" t="s">
        <v>52</v>
      </c>
      <c r="AP144" s="171">
        <v>3332</v>
      </c>
      <c r="AQ144" s="152">
        <v>3260</v>
      </c>
      <c r="AR144" s="152">
        <v>3195</v>
      </c>
      <c r="AS144" s="152">
        <v>3121</v>
      </c>
      <c r="AT144" s="152">
        <v>3047</v>
      </c>
      <c r="AU144" s="171">
        <v>3047</v>
      </c>
      <c r="AV144" s="152">
        <v>2986</v>
      </c>
      <c r="AW144" s="152">
        <v>2943</v>
      </c>
      <c r="AX144" s="152">
        <v>2894</v>
      </c>
      <c r="AY144" s="152">
        <v>2768</v>
      </c>
      <c r="AZ144" s="171">
        <v>2768</v>
      </c>
      <c r="BA144" s="152">
        <v>2728</v>
      </c>
      <c r="BB144" s="152">
        <v>2687</v>
      </c>
      <c r="BC144" s="152">
        <v>2627</v>
      </c>
      <c r="BD144" s="152">
        <v>1919</v>
      </c>
      <c r="BE144" s="171">
        <v>1919</v>
      </c>
    </row>
    <row r="145" spans="1:57" ht="15" customHeight="1">
      <c r="A145" s="69" t="s">
        <v>227</v>
      </c>
      <c r="B145" s="123" t="s">
        <v>44</v>
      </c>
      <c r="C145" s="80" t="s">
        <v>52</v>
      </c>
      <c r="D145" s="80" t="s">
        <v>52</v>
      </c>
      <c r="E145" s="80" t="s">
        <v>52</v>
      </c>
      <c r="F145" s="80" t="s">
        <v>52</v>
      </c>
      <c r="G145" s="123" t="s">
        <v>44</v>
      </c>
      <c r="H145" s="80" t="s">
        <v>52</v>
      </c>
      <c r="I145" s="80" t="s">
        <v>52</v>
      </c>
      <c r="J145" s="80" t="s">
        <v>52</v>
      </c>
      <c r="K145" s="80" t="s">
        <v>52</v>
      </c>
      <c r="L145" s="123" t="s">
        <v>44</v>
      </c>
      <c r="M145" s="80" t="s">
        <v>52</v>
      </c>
      <c r="N145" s="80" t="s">
        <v>52</v>
      </c>
      <c r="O145" s="80" t="s">
        <v>52</v>
      </c>
      <c r="P145" s="80" t="s">
        <v>52</v>
      </c>
      <c r="Q145" s="123" t="s">
        <v>44</v>
      </c>
      <c r="R145" s="80" t="s">
        <v>52</v>
      </c>
      <c r="S145" s="80" t="s">
        <v>52</v>
      </c>
      <c r="T145" s="80" t="s">
        <v>52</v>
      </c>
      <c r="U145" s="80" t="s">
        <v>52</v>
      </c>
      <c r="V145" s="123" t="s">
        <v>44</v>
      </c>
      <c r="W145" s="80" t="s">
        <v>52</v>
      </c>
      <c r="X145" s="80" t="s">
        <v>52</v>
      </c>
      <c r="Y145" s="80" t="s">
        <v>52</v>
      </c>
      <c r="Z145" s="80" t="s">
        <v>52</v>
      </c>
      <c r="AA145" s="123" t="s">
        <v>44</v>
      </c>
      <c r="AB145" s="80" t="s">
        <v>52</v>
      </c>
      <c r="AC145" s="80" t="s">
        <v>52</v>
      </c>
      <c r="AD145" s="80" t="s">
        <v>52</v>
      </c>
      <c r="AE145" s="80" t="s">
        <v>52</v>
      </c>
      <c r="AF145" s="123" t="s">
        <v>44</v>
      </c>
      <c r="AG145" s="80" t="s">
        <v>52</v>
      </c>
      <c r="AH145" s="80" t="s">
        <v>52</v>
      </c>
      <c r="AI145" s="80" t="s">
        <v>52</v>
      </c>
      <c r="AJ145" s="80" t="s">
        <v>52</v>
      </c>
      <c r="AK145" s="123" t="s">
        <v>44</v>
      </c>
      <c r="AL145" s="80" t="s">
        <v>52</v>
      </c>
      <c r="AM145" s="80" t="s">
        <v>52</v>
      </c>
      <c r="AN145" s="80" t="s">
        <v>52</v>
      </c>
      <c r="AO145" s="80" t="s">
        <v>52</v>
      </c>
      <c r="AP145" s="171">
        <v>1178</v>
      </c>
      <c r="AQ145" s="152">
        <v>1105</v>
      </c>
      <c r="AR145" s="152">
        <v>1099</v>
      </c>
      <c r="AS145" s="152">
        <v>1103</v>
      </c>
      <c r="AT145" s="152">
        <v>1007</v>
      </c>
      <c r="AU145" s="171">
        <v>1007</v>
      </c>
      <c r="AV145" s="152">
        <v>1008</v>
      </c>
      <c r="AW145" s="152">
        <v>1015</v>
      </c>
      <c r="AX145" s="152">
        <v>1014</v>
      </c>
      <c r="AY145" s="152">
        <v>1019</v>
      </c>
      <c r="AZ145" s="171">
        <v>1019</v>
      </c>
      <c r="BA145" s="152">
        <v>1027</v>
      </c>
      <c r="BB145" s="152">
        <v>1035</v>
      </c>
      <c r="BC145" s="152">
        <v>1041</v>
      </c>
      <c r="BD145" s="152">
        <v>1205</v>
      </c>
      <c r="BE145" s="171">
        <v>1205</v>
      </c>
    </row>
    <row r="146" spans="1:57" ht="15" customHeight="1">
      <c r="A146" s="69" t="s">
        <v>228</v>
      </c>
      <c r="B146" s="123" t="s">
        <v>44</v>
      </c>
      <c r="C146" s="80" t="s">
        <v>52</v>
      </c>
      <c r="D146" s="80" t="s">
        <v>52</v>
      </c>
      <c r="E146" s="80" t="s">
        <v>52</v>
      </c>
      <c r="F146" s="80" t="s">
        <v>52</v>
      </c>
      <c r="G146" s="123" t="s">
        <v>44</v>
      </c>
      <c r="H146" s="80" t="s">
        <v>52</v>
      </c>
      <c r="I146" s="80" t="s">
        <v>52</v>
      </c>
      <c r="J146" s="80" t="s">
        <v>52</v>
      </c>
      <c r="K146" s="80" t="s">
        <v>52</v>
      </c>
      <c r="L146" s="123" t="s">
        <v>44</v>
      </c>
      <c r="M146" s="80" t="s">
        <v>52</v>
      </c>
      <c r="N146" s="80" t="s">
        <v>52</v>
      </c>
      <c r="O146" s="80" t="s">
        <v>52</v>
      </c>
      <c r="P146" s="80" t="s">
        <v>52</v>
      </c>
      <c r="Q146" s="123" t="s">
        <v>44</v>
      </c>
      <c r="R146" s="80" t="s">
        <v>52</v>
      </c>
      <c r="S146" s="80" t="s">
        <v>52</v>
      </c>
      <c r="T146" s="80" t="s">
        <v>52</v>
      </c>
      <c r="U146" s="80" t="s">
        <v>52</v>
      </c>
      <c r="V146" s="123" t="s">
        <v>44</v>
      </c>
      <c r="W146" s="80" t="s">
        <v>52</v>
      </c>
      <c r="X146" s="80" t="s">
        <v>52</v>
      </c>
      <c r="Y146" s="80" t="s">
        <v>52</v>
      </c>
      <c r="Z146" s="80" t="s">
        <v>52</v>
      </c>
      <c r="AA146" s="123" t="s">
        <v>44</v>
      </c>
      <c r="AB146" s="80" t="s">
        <v>52</v>
      </c>
      <c r="AC146" s="80" t="s">
        <v>52</v>
      </c>
      <c r="AD146" s="80" t="s">
        <v>52</v>
      </c>
      <c r="AE146" s="80" t="s">
        <v>52</v>
      </c>
      <c r="AF146" s="123" t="s">
        <v>44</v>
      </c>
      <c r="AG146" s="80" t="s">
        <v>52</v>
      </c>
      <c r="AH146" s="80" t="s">
        <v>52</v>
      </c>
      <c r="AI146" s="80" t="s">
        <v>52</v>
      </c>
      <c r="AJ146" s="80" t="s">
        <v>52</v>
      </c>
      <c r="AK146" s="123" t="s">
        <v>44</v>
      </c>
      <c r="AL146" s="80" t="s">
        <v>52</v>
      </c>
      <c r="AM146" s="80" t="s">
        <v>52</v>
      </c>
      <c r="AN146" s="80" t="s">
        <v>52</v>
      </c>
      <c r="AO146" s="80" t="s">
        <v>52</v>
      </c>
      <c r="AP146" s="171">
        <v>386</v>
      </c>
      <c r="AQ146" s="152">
        <v>407</v>
      </c>
      <c r="AR146" s="152">
        <v>397</v>
      </c>
      <c r="AS146" s="152">
        <v>388</v>
      </c>
      <c r="AT146" s="152">
        <v>382</v>
      </c>
      <c r="AU146" s="171">
        <v>382</v>
      </c>
      <c r="AV146" s="152">
        <v>429</v>
      </c>
      <c r="AW146" s="152">
        <v>457</v>
      </c>
      <c r="AX146" s="152">
        <v>489</v>
      </c>
      <c r="AY146" s="152">
        <v>494</v>
      </c>
      <c r="AZ146" s="171">
        <v>494</v>
      </c>
      <c r="BA146" s="152">
        <v>547</v>
      </c>
      <c r="BB146" s="152">
        <v>530</v>
      </c>
      <c r="BC146" s="152">
        <v>519</v>
      </c>
      <c r="BD146" s="152">
        <v>462</v>
      </c>
      <c r="BE146" s="171">
        <v>462</v>
      </c>
    </row>
    <row r="147" spans="1:57" ht="15" customHeight="1">
      <c r="A147" s="69" t="s">
        <v>266</v>
      </c>
      <c r="B147" s="123" t="s">
        <v>44</v>
      </c>
      <c r="C147" s="80" t="s">
        <v>52</v>
      </c>
      <c r="D147" s="80" t="s">
        <v>52</v>
      </c>
      <c r="E147" s="80" t="s">
        <v>52</v>
      </c>
      <c r="F147" s="80" t="s">
        <v>52</v>
      </c>
      <c r="G147" s="123" t="s">
        <v>44</v>
      </c>
      <c r="H147" s="80" t="s">
        <v>52</v>
      </c>
      <c r="I147" s="80" t="s">
        <v>52</v>
      </c>
      <c r="J147" s="80" t="s">
        <v>52</v>
      </c>
      <c r="K147" s="80" t="s">
        <v>52</v>
      </c>
      <c r="L147" s="123" t="s">
        <v>44</v>
      </c>
      <c r="M147" s="80" t="s">
        <v>52</v>
      </c>
      <c r="N147" s="80" t="s">
        <v>52</v>
      </c>
      <c r="O147" s="80" t="s">
        <v>52</v>
      </c>
      <c r="P147" s="80" t="s">
        <v>52</v>
      </c>
      <c r="Q147" s="123" t="s">
        <v>44</v>
      </c>
      <c r="R147" s="80" t="s">
        <v>52</v>
      </c>
      <c r="S147" s="80" t="s">
        <v>52</v>
      </c>
      <c r="T147" s="80" t="s">
        <v>52</v>
      </c>
      <c r="U147" s="80" t="s">
        <v>52</v>
      </c>
      <c r="V147" s="123" t="s">
        <v>44</v>
      </c>
      <c r="W147" s="80" t="s">
        <v>52</v>
      </c>
      <c r="X147" s="80" t="s">
        <v>52</v>
      </c>
      <c r="Y147" s="80" t="s">
        <v>52</v>
      </c>
      <c r="Z147" s="80" t="s">
        <v>52</v>
      </c>
      <c r="AA147" s="123" t="s">
        <v>44</v>
      </c>
      <c r="AB147" s="80" t="s">
        <v>52</v>
      </c>
      <c r="AC147" s="80" t="s">
        <v>52</v>
      </c>
      <c r="AD147" s="80" t="s">
        <v>52</v>
      </c>
      <c r="AE147" s="80" t="s">
        <v>52</v>
      </c>
      <c r="AF147" s="123" t="s">
        <v>44</v>
      </c>
      <c r="AG147" s="80" t="s">
        <v>52</v>
      </c>
      <c r="AH147" s="80" t="s">
        <v>52</v>
      </c>
      <c r="AI147" s="80" t="s">
        <v>52</v>
      </c>
      <c r="AJ147" s="80" t="s">
        <v>52</v>
      </c>
      <c r="AK147" s="123" t="s">
        <v>44</v>
      </c>
      <c r="AL147" s="80" t="s">
        <v>52</v>
      </c>
      <c r="AM147" s="80" t="s">
        <v>52</v>
      </c>
      <c r="AN147" s="80" t="s">
        <v>52</v>
      </c>
      <c r="AO147" s="80" t="s">
        <v>52</v>
      </c>
      <c r="AP147" s="123" t="s">
        <v>44</v>
      </c>
      <c r="AQ147" s="80" t="s">
        <v>52</v>
      </c>
      <c r="AR147" s="80" t="s">
        <v>52</v>
      </c>
      <c r="AS147" s="80" t="s">
        <v>52</v>
      </c>
      <c r="AT147" s="80" t="s">
        <v>52</v>
      </c>
      <c r="AU147" s="123" t="s">
        <v>44</v>
      </c>
      <c r="AV147" s="80" t="s">
        <v>52</v>
      </c>
      <c r="AW147" s="80" t="s">
        <v>52</v>
      </c>
      <c r="AX147" s="80" t="s">
        <v>52</v>
      </c>
      <c r="AY147" s="80" t="s">
        <v>52</v>
      </c>
      <c r="AZ147" s="123" t="s">
        <v>44</v>
      </c>
      <c r="BA147" s="80" t="s">
        <v>52</v>
      </c>
      <c r="BB147" s="152">
        <v>130</v>
      </c>
      <c r="BC147" s="152">
        <v>140</v>
      </c>
      <c r="BD147" s="152">
        <v>58</v>
      </c>
      <c r="BE147" s="171">
        <v>58</v>
      </c>
    </row>
    <row r="148" spans="1:57" ht="15" customHeight="1">
      <c r="A148" s="40" t="s">
        <v>229</v>
      </c>
      <c r="B148" s="40"/>
      <c r="C148" s="214"/>
      <c r="D148" s="214"/>
      <c r="E148" s="214"/>
      <c r="F148" s="214"/>
      <c r="G148" s="40"/>
      <c r="H148" s="214"/>
      <c r="I148" s="214"/>
      <c r="J148" s="214"/>
      <c r="K148" s="214"/>
      <c r="L148" s="40"/>
      <c r="M148" s="214"/>
      <c r="N148" s="214"/>
      <c r="O148" s="214"/>
      <c r="P148" s="214"/>
      <c r="Q148" s="40"/>
      <c r="R148" s="214"/>
      <c r="S148" s="214"/>
      <c r="T148" s="214"/>
      <c r="U148" s="214"/>
      <c r="V148" s="40"/>
      <c r="W148" s="214"/>
      <c r="X148" s="214"/>
      <c r="Y148" s="214"/>
      <c r="Z148" s="214"/>
      <c r="AA148" s="40"/>
      <c r="AB148" s="214"/>
      <c r="AC148" s="214"/>
      <c r="AD148" s="214"/>
      <c r="AE148" s="214"/>
      <c r="AF148" s="40"/>
      <c r="AG148" s="214"/>
      <c r="AH148" s="214"/>
      <c r="AI148" s="214"/>
      <c r="AJ148" s="214"/>
      <c r="AK148" s="40"/>
      <c r="AL148" s="214"/>
      <c r="AM148" s="214"/>
      <c r="AN148" s="214"/>
      <c r="AO148" s="214"/>
      <c r="AP148" s="214">
        <v>12920</v>
      </c>
      <c r="AQ148" s="214">
        <v>12792</v>
      </c>
      <c r="AR148" s="214">
        <v>12665</v>
      </c>
      <c r="AS148" s="214">
        <v>12543</v>
      </c>
      <c r="AT148" s="214">
        <v>12388</v>
      </c>
      <c r="AU148" s="214">
        <v>12388</v>
      </c>
      <c r="AV148" s="214">
        <v>12342</v>
      </c>
      <c r="AW148" s="214">
        <v>12246</v>
      </c>
      <c r="AX148" s="214">
        <v>12191</v>
      </c>
      <c r="AY148" s="214">
        <v>12026</v>
      </c>
      <c r="AZ148" s="214">
        <v>12026</v>
      </c>
      <c r="BA148" s="214">
        <v>13418</v>
      </c>
      <c r="BB148" s="214">
        <v>13531</v>
      </c>
      <c r="BC148" s="214">
        <v>13443</v>
      </c>
      <c r="BD148" s="214">
        <v>11892</v>
      </c>
      <c r="BE148" s="214">
        <v>11892</v>
      </c>
    </row>
    <row r="149" spans="1:57" ht="15" customHeight="1">
      <c r="A149" s="40" t="s">
        <v>230</v>
      </c>
      <c r="B149" s="40"/>
      <c r="C149" s="214"/>
      <c r="D149" s="214"/>
      <c r="E149" s="214"/>
      <c r="F149" s="214"/>
      <c r="G149" s="40"/>
      <c r="H149" s="214"/>
      <c r="I149" s="214"/>
      <c r="J149" s="214"/>
      <c r="K149" s="214"/>
      <c r="L149" s="40"/>
      <c r="M149" s="214"/>
      <c r="N149" s="214"/>
      <c r="O149" s="214"/>
      <c r="P149" s="214"/>
      <c r="Q149" s="40"/>
      <c r="R149" s="214"/>
      <c r="S149" s="214"/>
      <c r="T149" s="214"/>
      <c r="U149" s="214"/>
      <c r="V149" s="40"/>
      <c r="W149" s="214"/>
      <c r="X149" s="214"/>
      <c r="Y149" s="214"/>
      <c r="Z149" s="214"/>
      <c r="AA149" s="40"/>
      <c r="AB149" s="214"/>
      <c r="AC149" s="214"/>
      <c r="AD149" s="214"/>
      <c r="AE149" s="214"/>
      <c r="AF149" s="40"/>
      <c r="AG149" s="214"/>
      <c r="AH149" s="214"/>
      <c r="AI149" s="214"/>
      <c r="AJ149" s="214"/>
      <c r="AK149" s="40"/>
      <c r="AL149" s="214"/>
      <c r="AM149" s="214"/>
      <c r="AN149" s="214"/>
      <c r="AO149" s="214"/>
      <c r="AP149" s="214">
        <v>16679</v>
      </c>
      <c r="AQ149" s="214">
        <v>17033</v>
      </c>
      <c r="AR149" s="214">
        <v>17287</v>
      </c>
      <c r="AS149" s="214">
        <v>16703</v>
      </c>
      <c r="AT149" s="214">
        <v>15947</v>
      </c>
      <c r="AU149" s="214">
        <v>15947</v>
      </c>
      <c r="AV149" s="214">
        <v>16134</v>
      </c>
      <c r="AW149" s="214">
        <v>16618</v>
      </c>
      <c r="AX149" s="214">
        <v>17142</v>
      </c>
      <c r="AY149" s="214">
        <v>16849</v>
      </c>
      <c r="AZ149" s="214">
        <v>16849</v>
      </c>
      <c r="BA149" s="214">
        <v>18922</v>
      </c>
      <c r="BB149" s="214">
        <v>18361</v>
      </c>
      <c r="BC149" s="214">
        <v>18558</v>
      </c>
      <c r="BD149" s="214">
        <v>16323</v>
      </c>
      <c r="BE149" s="214">
        <v>16323</v>
      </c>
    </row>
    <row r="150" spans="1:57" ht="15" customHeight="1">
      <c r="A150" s="69" t="s">
        <v>231</v>
      </c>
      <c r="B150" s="123" t="s">
        <v>44</v>
      </c>
      <c r="C150" s="80" t="s">
        <v>52</v>
      </c>
      <c r="D150" s="80" t="s">
        <v>52</v>
      </c>
      <c r="E150" s="80" t="s">
        <v>52</v>
      </c>
      <c r="F150" s="80" t="s">
        <v>52</v>
      </c>
      <c r="G150" s="123" t="s">
        <v>44</v>
      </c>
      <c r="H150" s="80" t="s">
        <v>52</v>
      </c>
      <c r="I150" s="80" t="s">
        <v>52</v>
      </c>
      <c r="J150" s="80" t="s">
        <v>52</v>
      </c>
      <c r="K150" s="80" t="s">
        <v>52</v>
      </c>
      <c r="L150" s="123" t="s">
        <v>44</v>
      </c>
      <c r="M150" s="80" t="s">
        <v>52</v>
      </c>
      <c r="N150" s="80" t="s">
        <v>52</v>
      </c>
      <c r="O150" s="80" t="s">
        <v>52</v>
      </c>
      <c r="P150" s="80" t="s">
        <v>52</v>
      </c>
      <c r="Q150" s="123" t="s">
        <v>44</v>
      </c>
      <c r="R150" s="80" t="s">
        <v>52</v>
      </c>
      <c r="S150" s="80" t="s">
        <v>52</v>
      </c>
      <c r="T150" s="80" t="s">
        <v>52</v>
      </c>
      <c r="U150" s="80" t="s">
        <v>52</v>
      </c>
      <c r="V150" s="123" t="s">
        <v>44</v>
      </c>
      <c r="W150" s="80" t="s">
        <v>52</v>
      </c>
      <c r="X150" s="80" t="s">
        <v>52</v>
      </c>
      <c r="Y150" s="80" t="s">
        <v>52</v>
      </c>
      <c r="Z150" s="80" t="s">
        <v>52</v>
      </c>
      <c r="AA150" s="123" t="s">
        <v>44</v>
      </c>
      <c r="AB150" s="80" t="s">
        <v>52</v>
      </c>
      <c r="AC150" s="80" t="s">
        <v>52</v>
      </c>
      <c r="AD150" s="80" t="s">
        <v>52</v>
      </c>
      <c r="AE150" s="80" t="s">
        <v>52</v>
      </c>
      <c r="AF150" s="123" t="s">
        <v>44</v>
      </c>
      <c r="AG150" s="80" t="s">
        <v>52</v>
      </c>
      <c r="AH150" s="80" t="s">
        <v>52</v>
      </c>
      <c r="AI150" s="80" t="s">
        <v>52</v>
      </c>
      <c r="AJ150" s="80" t="s">
        <v>52</v>
      </c>
      <c r="AK150" s="123" t="s">
        <v>44</v>
      </c>
      <c r="AL150" s="80" t="s">
        <v>52</v>
      </c>
      <c r="AM150" s="80" t="s">
        <v>52</v>
      </c>
      <c r="AN150" s="80" t="s">
        <v>52</v>
      </c>
      <c r="AO150" s="80" t="s">
        <v>52</v>
      </c>
      <c r="AP150" s="171">
        <v>1913</v>
      </c>
      <c r="AQ150" s="152">
        <v>2073</v>
      </c>
      <c r="AR150" s="152">
        <v>1958</v>
      </c>
      <c r="AS150" s="152">
        <v>2135</v>
      </c>
      <c r="AT150" s="152">
        <v>1825</v>
      </c>
      <c r="AU150" s="171">
        <v>1825</v>
      </c>
      <c r="AV150" s="152">
        <v>1594</v>
      </c>
      <c r="AW150" s="152">
        <v>958</v>
      </c>
      <c r="AX150" s="152">
        <v>555</v>
      </c>
      <c r="AY150" s="152">
        <v>1632</v>
      </c>
      <c r="AZ150" s="171">
        <v>1632</v>
      </c>
      <c r="BA150" s="152">
        <v>1609</v>
      </c>
      <c r="BB150" s="152">
        <v>1796</v>
      </c>
      <c r="BC150" s="152">
        <v>1798</v>
      </c>
      <c r="BD150" s="152">
        <v>1542</v>
      </c>
      <c r="BE150" s="171">
        <v>1542</v>
      </c>
    </row>
    <row r="151" spans="1:57" ht="15" customHeight="1">
      <c r="A151" s="69" t="s">
        <v>258</v>
      </c>
      <c r="B151" s="123"/>
      <c r="C151" s="80"/>
      <c r="D151" s="80"/>
      <c r="E151" s="80"/>
      <c r="F151" s="80"/>
      <c r="G151" s="123"/>
      <c r="H151" s="80"/>
      <c r="I151" s="80"/>
      <c r="J151" s="80"/>
      <c r="K151" s="80"/>
      <c r="L151" s="123"/>
      <c r="M151" s="80"/>
      <c r="N151" s="80"/>
      <c r="O151" s="80"/>
      <c r="P151" s="80"/>
      <c r="Q151" s="123"/>
      <c r="R151" s="80"/>
      <c r="S151" s="80"/>
      <c r="T151" s="80"/>
      <c r="U151" s="80"/>
      <c r="V151" s="123"/>
      <c r="W151" s="80"/>
      <c r="X151" s="80"/>
      <c r="Y151" s="80"/>
      <c r="Z151" s="80"/>
      <c r="AA151" s="123"/>
      <c r="AB151" s="80"/>
      <c r="AC151" s="80"/>
      <c r="AD151" s="80"/>
      <c r="AE151" s="80"/>
      <c r="AF151" s="123"/>
      <c r="AG151" s="80"/>
      <c r="AH151" s="80"/>
      <c r="AI151" s="80"/>
      <c r="AJ151" s="80"/>
      <c r="AK151" s="123"/>
      <c r="AL151" s="80"/>
      <c r="AM151" s="80"/>
      <c r="AN151" s="80"/>
      <c r="AO151" s="80"/>
      <c r="AP151" s="171"/>
      <c r="AQ151" s="152"/>
      <c r="AR151" s="152"/>
      <c r="AS151" s="152"/>
      <c r="AT151" s="152"/>
      <c r="AU151" s="171"/>
      <c r="AV151" s="152"/>
      <c r="AW151" s="152"/>
      <c r="AX151" s="152"/>
      <c r="AY151" s="152"/>
      <c r="AZ151" s="171"/>
      <c r="BA151" s="152">
        <v>428</v>
      </c>
      <c r="BB151" s="152">
        <v>417</v>
      </c>
      <c r="BC151" s="152">
        <v>443</v>
      </c>
      <c r="BD151" s="152">
        <v>445</v>
      </c>
      <c r="BE151" s="171">
        <v>445</v>
      </c>
    </row>
    <row r="152" spans="1:57" ht="15" customHeight="1">
      <c r="A152" s="69" t="s">
        <v>232</v>
      </c>
      <c r="B152" s="123" t="s">
        <v>44</v>
      </c>
      <c r="C152" s="80" t="s">
        <v>52</v>
      </c>
      <c r="D152" s="80" t="s">
        <v>52</v>
      </c>
      <c r="E152" s="80" t="s">
        <v>52</v>
      </c>
      <c r="F152" s="80" t="s">
        <v>52</v>
      </c>
      <c r="G152" s="123" t="s">
        <v>44</v>
      </c>
      <c r="H152" s="80" t="s">
        <v>52</v>
      </c>
      <c r="I152" s="80" t="s">
        <v>52</v>
      </c>
      <c r="J152" s="80" t="s">
        <v>52</v>
      </c>
      <c r="K152" s="80" t="s">
        <v>52</v>
      </c>
      <c r="L152" s="123" t="s">
        <v>44</v>
      </c>
      <c r="M152" s="80" t="s">
        <v>52</v>
      </c>
      <c r="N152" s="80" t="s">
        <v>52</v>
      </c>
      <c r="O152" s="80" t="s">
        <v>52</v>
      </c>
      <c r="P152" s="80" t="s">
        <v>52</v>
      </c>
      <c r="Q152" s="123" t="s">
        <v>44</v>
      </c>
      <c r="R152" s="80" t="s">
        <v>52</v>
      </c>
      <c r="S152" s="80" t="s">
        <v>52</v>
      </c>
      <c r="T152" s="80" t="s">
        <v>52</v>
      </c>
      <c r="U152" s="80" t="s">
        <v>52</v>
      </c>
      <c r="V152" s="123" t="s">
        <v>44</v>
      </c>
      <c r="W152" s="80" t="s">
        <v>52</v>
      </c>
      <c r="X152" s="80" t="s">
        <v>52</v>
      </c>
      <c r="Y152" s="80" t="s">
        <v>52</v>
      </c>
      <c r="Z152" s="80" t="s">
        <v>52</v>
      </c>
      <c r="AA152" s="123" t="s">
        <v>44</v>
      </c>
      <c r="AB152" s="80" t="s">
        <v>52</v>
      </c>
      <c r="AC152" s="80" t="s">
        <v>52</v>
      </c>
      <c r="AD152" s="80" t="s">
        <v>52</v>
      </c>
      <c r="AE152" s="80" t="s">
        <v>52</v>
      </c>
      <c r="AF152" s="123" t="s">
        <v>44</v>
      </c>
      <c r="AG152" s="80" t="s">
        <v>52</v>
      </c>
      <c r="AH152" s="80" t="s">
        <v>52</v>
      </c>
      <c r="AI152" s="80" t="s">
        <v>52</v>
      </c>
      <c r="AJ152" s="80" t="s">
        <v>52</v>
      </c>
      <c r="AK152" s="123" t="s">
        <v>44</v>
      </c>
      <c r="AL152" s="80" t="s">
        <v>52</v>
      </c>
      <c r="AM152" s="80" t="s">
        <v>52</v>
      </c>
      <c r="AN152" s="80" t="s">
        <v>52</v>
      </c>
      <c r="AO152" s="80" t="s">
        <v>52</v>
      </c>
      <c r="AP152" s="171">
        <v>1657</v>
      </c>
      <c r="AQ152" s="152">
        <v>1843</v>
      </c>
      <c r="AR152" s="152">
        <v>1576</v>
      </c>
      <c r="AS152" s="152">
        <v>1599</v>
      </c>
      <c r="AT152" s="152">
        <v>1610</v>
      </c>
      <c r="AU152" s="171">
        <v>1610</v>
      </c>
      <c r="AV152" s="152">
        <v>1705</v>
      </c>
      <c r="AW152" s="152">
        <v>1608</v>
      </c>
      <c r="AX152" s="152">
        <v>1807</v>
      </c>
      <c r="AY152" s="152">
        <v>1699</v>
      </c>
      <c r="AZ152" s="171">
        <v>1699</v>
      </c>
      <c r="BA152" s="152">
        <v>1820</v>
      </c>
      <c r="BB152" s="152">
        <v>1583</v>
      </c>
      <c r="BC152" s="152">
        <v>1602</v>
      </c>
      <c r="BD152" s="152">
        <v>1690</v>
      </c>
      <c r="BE152" s="171">
        <v>1690</v>
      </c>
    </row>
    <row r="153" spans="1:57" ht="15" customHeight="1">
      <c r="A153" s="69" t="s">
        <v>233</v>
      </c>
      <c r="B153" s="123" t="s">
        <v>44</v>
      </c>
      <c r="C153" s="80" t="s">
        <v>52</v>
      </c>
      <c r="D153" s="80" t="s">
        <v>52</v>
      </c>
      <c r="E153" s="80" t="s">
        <v>52</v>
      </c>
      <c r="F153" s="80" t="s">
        <v>52</v>
      </c>
      <c r="G153" s="123" t="s">
        <v>44</v>
      </c>
      <c r="H153" s="80" t="s">
        <v>52</v>
      </c>
      <c r="I153" s="80" t="s">
        <v>52</v>
      </c>
      <c r="J153" s="80" t="s">
        <v>52</v>
      </c>
      <c r="K153" s="80" t="s">
        <v>52</v>
      </c>
      <c r="L153" s="123" t="s">
        <v>44</v>
      </c>
      <c r="M153" s="80" t="s">
        <v>52</v>
      </c>
      <c r="N153" s="80" t="s">
        <v>52</v>
      </c>
      <c r="O153" s="80" t="s">
        <v>52</v>
      </c>
      <c r="P153" s="80" t="s">
        <v>52</v>
      </c>
      <c r="Q153" s="123" t="s">
        <v>44</v>
      </c>
      <c r="R153" s="80" t="s">
        <v>52</v>
      </c>
      <c r="S153" s="80" t="s">
        <v>52</v>
      </c>
      <c r="T153" s="80" t="s">
        <v>52</v>
      </c>
      <c r="U153" s="80" t="s">
        <v>52</v>
      </c>
      <c r="V153" s="123" t="s">
        <v>44</v>
      </c>
      <c r="W153" s="80" t="s">
        <v>52</v>
      </c>
      <c r="X153" s="80" t="s">
        <v>52</v>
      </c>
      <c r="Y153" s="80" t="s">
        <v>52</v>
      </c>
      <c r="Z153" s="80" t="s">
        <v>52</v>
      </c>
      <c r="AA153" s="123" t="s">
        <v>44</v>
      </c>
      <c r="AB153" s="80" t="s">
        <v>52</v>
      </c>
      <c r="AC153" s="80" t="s">
        <v>52</v>
      </c>
      <c r="AD153" s="80" t="s">
        <v>52</v>
      </c>
      <c r="AE153" s="80" t="s">
        <v>52</v>
      </c>
      <c r="AF153" s="123" t="s">
        <v>44</v>
      </c>
      <c r="AG153" s="80" t="s">
        <v>52</v>
      </c>
      <c r="AH153" s="80" t="s">
        <v>52</v>
      </c>
      <c r="AI153" s="80" t="s">
        <v>52</v>
      </c>
      <c r="AJ153" s="80" t="s">
        <v>52</v>
      </c>
      <c r="AK153" s="123" t="s">
        <v>44</v>
      </c>
      <c r="AL153" s="80" t="s">
        <v>52</v>
      </c>
      <c r="AM153" s="80" t="s">
        <v>52</v>
      </c>
      <c r="AN153" s="80" t="s">
        <v>52</v>
      </c>
      <c r="AO153" s="80" t="s">
        <v>52</v>
      </c>
      <c r="AP153" s="171">
        <v>624</v>
      </c>
      <c r="AQ153" s="152">
        <v>622</v>
      </c>
      <c r="AR153" s="152">
        <v>628</v>
      </c>
      <c r="AS153" s="152">
        <v>171</v>
      </c>
      <c r="AT153" s="152">
        <v>104</v>
      </c>
      <c r="AU153" s="171">
        <v>104</v>
      </c>
      <c r="AV153" s="152">
        <v>112</v>
      </c>
      <c r="AW153" s="152">
        <v>112</v>
      </c>
      <c r="AX153" s="152">
        <v>118</v>
      </c>
      <c r="AY153" s="152">
        <v>152</v>
      </c>
      <c r="AZ153" s="171">
        <v>152</v>
      </c>
      <c r="BA153" s="152">
        <v>43</v>
      </c>
      <c r="BB153" s="151" t="s">
        <v>147</v>
      </c>
      <c r="BC153" s="152">
        <v>9</v>
      </c>
      <c r="BD153" s="151" t="s">
        <v>147</v>
      </c>
      <c r="BE153" s="215" t="s">
        <v>147</v>
      </c>
    </row>
    <row r="154" spans="1:57" ht="15" customHeight="1">
      <c r="A154" s="69" t="s">
        <v>234</v>
      </c>
      <c r="B154" s="123" t="s">
        <v>44</v>
      </c>
      <c r="C154" s="80" t="s">
        <v>52</v>
      </c>
      <c r="D154" s="80" t="s">
        <v>52</v>
      </c>
      <c r="E154" s="80" t="s">
        <v>52</v>
      </c>
      <c r="F154" s="80" t="s">
        <v>52</v>
      </c>
      <c r="G154" s="123" t="s">
        <v>44</v>
      </c>
      <c r="H154" s="80" t="s">
        <v>52</v>
      </c>
      <c r="I154" s="80" t="s">
        <v>52</v>
      </c>
      <c r="J154" s="80" t="s">
        <v>52</v>
      </c>
      <c r="K154" s="80" t="s">
        <v>52</v>
      </c>
      <c r="L154" s="123" t="s">
        <v>44</v>
      </c>
      <c r="M154" s="80" t="s">
        <v>52</v>
      </c>
      <c r="N154" s="80" t="s">
        <v>52</v>
      </c>
      <c r="O154" s="80" t="s">
        <v>52</v>
      </c>
      <c r="P154" s="80" t="s">
        <v>52</v>
      </c>
      <c r="Q154" s="123" t="s">
        <v>44</v>
      </c>
      <c r="R154" s="80" t="s">
        <v>52</v>
      </c>
      <c r="S154" s="80" t="s">
        <v>52</v>
      </c>
      <c r="T154" s="80" t="s">
        <v>52</v>
      </c>
      <c r="U154" s="80" t="s">
        <v>52</v>
      </c>
      <c r="V154" s="123" t="s">
        <v>44</v>
      </c>
      <c r="W154" s="80" t="s">
        <v>52</v>
      </c>
      <c r="X154" s="80" t="s">
        <v>52</v>
      </c>
      <c r="Y154" s="80" t="s">
        <v>52</v>
      </c>
      <c r="Z154" s="80" t="s">
        <v>52</v>
      </c>
      <c r="AA154" s="123" t="s">
        <v>44</v>
      </c>
      <c r="AB154" s="80" t="s">
        <v>52</v>
      </c>
      <c r="AC154" s="80" t="s">
        <v>52</v>
      </c>
      <c r="AD154" s="80" t="s">
        <v>52</v>
      </c>
      <c r="AE154" s="80" t="s">
        <v>52</v>
      </c>
      <c r="AF154" s="123" t="s">
        <v>44</v>
      </c>
      <c r="AG154" s="80" t="s">
        <v>52</v>
      </c>
      <c r="AH154" s="80" t="s">
        <v>52</v>
      </c>
      <c r="AI154" s="80" t="s">
        <v>52</v>
      </c>
      <c r="AJ154" s="80" t="s">
        <v>52</v>
      </c>
      <c r="AK154" s="123" t="s">
        <v>44</v>
      </c>
      <c r="AL154" s="80" t="s">
        <v>52</v>
      </c>
      <c r="AM154" s="80" t="s">
        <v>52</v>
      </c>
      <c r="AN154" s="80" t="s">
        <v>52</v>
      </c>
      <c r="AO154" s="80" t="s">
        <v>52</v>
      </c>
      <c r="AP154" s="171">
        <v>233</v>
      </c>
      <c r="AQ154" s="152">
        <v>206</v>
      </c>
      <c r="AR154" s="152">
        <v>208</v>
      </c>
      <c r="AS154" s="152">
        <v>6</v>
      </c>
      <c r="AT154" s="152">
        <v>32</v>
      </c>
      <c r="AU154" s="171">
        <v>32</v>
      </c>
      <c r="AV154" s="152">
        <v>6</v>
      </c>
      <c r="AW154" s="151" t="s">
        <v>147</v>
      </c>
      <c r="AX154" s="151" t="s">
        <v>147</v>
      </c>
      <c r="AY154" s="151" t="s">
        <v>147</v>
      </c>
      <c r="AZ154" s="215" t="s">
        <v>147</v>
      </c>
      <c r="BA154" s="151" t="s">
        <v>147</v>
      </c>
      <c r="BB154" s="151" t="s">
        <v>147</v>
      </c>
      <c r="BC154" s="151" t="s">
        <v>147</v>
      </c>
      <c r="BD154" s="151" t="s">
        <v>147</v>
      </c>
      <c r="BE154" s="215" t="s">
        <v>147</v>
      </c>
    </row>
    <row r="155" spans="1:57" ht="15" customHeight="1">
      <c r="A155" s="69" t="s">
        <v>235</v>
      </c>
      <c r="B155" s="123" t="s">
        <v>44</v>
      </c>
      <c r="C155" s="80" t="s">
        <v>52</v>
      </c>
      <c r="D155" s="80" t="s">
        <v>52</v>
      </c>
      <c r="E155" s="80" t="s">
        <v>52</v>
      </c>
      <c r="F155" s="80" t="s">
        <v>52</v>
      </c>
      <c r="G155" s="123" t="s">
        <v>44</v>
      </c>
      <c r="H155" s="80" t="s">
        <v>52</v>
      </c>
      <c r="I155" s="80" t="s">
        <v>52</v>
      </c>
      <c r="J155" s="80" t="s">
        <v>52</v>
      </c>
      <c r="K155" s="80" t="s">
        <v>52</v>
      </c>
      <c r="L155" s="123" t="s">
        <v>44</v>
      </c>
      <c r="M155" s="80" t="s">
        <v>52</v>
      </c>
      <c r="N155" s="80" t="s">
        <v>52</v>
      </c>
      <c r="O155" s="80" t="s">
        <v>52</v>
      </c>
      <c r="P155" s="80" t="s">
        <v>52</v>
      </c>
      <c r="Q155" s="123" t="s">
        <v>44</v>
      </c>
      <c r="R155" s="80" t="s">
        <v>52</v>
      </c>
      <c r="S155" s="80" t="s">
        <v>52</v>
      </c>
      <c r="T155" s="80" t="s">
        <v>52</v>
      </c>
      <c r="U155" s="80" t="s">
        <v>52</v>
      </c>
      <c r="V155" s="123" t="s">
        <v>44</v>
      </c>
      <c r="W155" s="80" t="s">
        <v>52</v>
      </c>
      <c r="X155" s="80" t="s">
        <v>52</v>
      </c>
      <c r="Y155" s="80" t="s">
        <v>52</v>
      </c>
      <c r="Z155" s="80" t="s">
        <v>52</v>
      </c>
      <c r="AA155" s="123" t="s">
        <v>44</v>
      </c>
      <c r="AB155" s="80" t="s">
        <v>52</v>
      </c>
      <c r="AC155" s="80" t="s">
        <v>52</v>
      </c>
      <c r="AD155" s="80" t="s">
        <v>52</v>
      </c>
      <c r="AE155" s="80" t="s">
        <v>52</v>
      </c>
      <c r="AF155" s="123" t="s">
        <v>44</v>
      </c>
      <c r="AG155" s="80" t="s">
        <v>52</v>
      </c>
      <c r="AH155" s="80" t="s">
        <v>52</v>
      </c>
      <c r="AI155" s="80" t="s">
        <v>52</v>
      </c>
      <c r="AJ155" s="80" t="s">
        <v>52</v>
      </c>
      <c r="AK155" s="123" t="s">
        <v>44</v>
      </c>
      <c r="AL155" s="80" t="s">
        <v>52</v>
      </c>
      <c r="AM155" s="80" t="s">
        <v>52</v>
      </c>
      <c r="AN155" s="80" t="s">
        <v>52</v>
      </c>
      <c r="AO155" s="80" t="s">
        <v>52</v>
      </c>
      <c r="AP155" s="171">
        <v>378</v>
      </c>
      <c r="AQ155" s="152">
        <v>380</v>
      </c>
      <c r="AR155" s="152">
        <v>370</v>
      </c>
      <c r="AS155" s="152">
        <v>280</v>
      </c>
      <c r="AT155" s="152">
        <v>315</v>
      </c>
      <c r="AU155" s="171">
        <v>315</v>
      </c>
      <c r="AV155" s="152">
        <v>308</v>
      </c>
      <c r="AW155" s="152">
        <v>318</v>
      </c>
      <c r="AX155" s="152">
        <v>251</v>
      </c>
      <c r="AY155" s="152">
        <v>280</v>
      </c>
      <c r="AZ155" s="171">
        <v>280</v>
      </c>
      <c r="BA155" s="152">
        <v>286</v>
      </c>
      <c r="BB155" s="152">
        <v>369</v>
      </c>
      <c r="BC155" s="152">
        <v>330</v>
      </c>
      <c r="BD155" s="152">
        <v>581</v>
      </c>
      <c r="BE155" s="171">
        <v>581</v>
      </c>
    </row>
    <row r="156" spans="1:57" ht="15" customHeight="1">
      <c r="A156" s="69" t="s">
        <v>236</v>
      </c>
      <c r="B156" s="123" t="s">
        <v>44</v>
      </c>
      <c r="C156" s="80" t="s">
        <v>52</v>
      </c>
      <c r="D156" s="80" t="s">
        <v>52</v>
      </c>
      <c r="E156" s="80" t="s">
        <v>52</v>
      </c>
      <c r="F156" s="80" t="s">
        <v>52</v>
      </c>
      <c r="G156" s="123" t="s">
        <v>44</v>
      </c>
      <c r="H156" s="80" t="s">
        <v>52</v>
      </c>
      <c r="I156" s="80" t="s">
        <v>52</v>
      </c>
      <c r="J156" s="80" t="s">
        <v>52</v>
      </c>
      <c r="K156" s="80" t="s">
        <v>52</v>
      </c>
      <c r="L156" s="123" t="s">
        <v>44</v>
      </c>
      <c r="M156" s="80" t="s">
        <v>52</v>
      </c>
      <c r="N156" s="80" t="s">
        <v>52</v>
      </c>
      <c r="O156" s="80" t="s">
        <v>52</v>
      </c>
      <c r="P156" s="80" t="s">
        <v>52</v>
      </c>
      <c r="Q156" s="123" t="s">
        <v>44</v>
      </c>
      <c r="R156" s="80" t="s">
        <v>52</v>
      </c>
      <c r="S156" s="80" t="s">
        <v>52</v>
      </c>
      <c r="T156" s="80" t="s">
        <v>52</v>
      </c>
      <c r="U156" s="80" t="s">
        <v>52</v>
      </c>
      <c r="V156" s="123" t="s">
        <v>44</v>
      </c>
      <c r="W156" s="80" t="s">
        <v>52</v>
      </c>
      <c r="X156" s="80" t="s">
        <v>52</v>
      </c>
      <c r="Y156" s="80" t="s">
        <v>52</v>
      </c>
      <c r="Z156" s="80" t="s">
        <v>52</v>
      </c>
      <c r="AA156" s="123" t="s">
        <v>44</v>
      </c>
      <c r="AB156" s="80" t="s">
        <v>52</v>
      </c>
      <c r="AC156" s="80" t="s">
        <v>52</v>
      </c>
      <c r="AD156" s="80" t="s">
        <v>52</v>
      </c>
      <c r="AE156" s="80" t="s">
        <v>52</v>
      </c>
      <c r="AF156" s="123" t="s">
        <v>44</v>
      </c>
      <c r="AG156" s="80" t="s">
        <v>52</v>
      </c>
      <c r="AH156" s="80" t="s">
        <v>52</v>
      </c>
      <c r="AI156" s="80" t="s">
        <v>52</v>
      </c>
      <c r="AJ156" s="80" t="s">
        <v>52</v>
      </c>
      <c r="AK156" s="123" t="s">
        <v>44</v>
      </c>
      <c r="AL156" s="80" t="s">
        <v>52</v>
      </c>
      <c r="AM156" s="80" t="s">
        <v>52</v>
      </c>
      <c r="AN156" s="80" t="s">
        <v>52</v>
      </c>
      <c r="AO156" s="80" t="s">
        <v>52</v>
      </c>
      <c r="AP156" s="171">
        <v>100</v>
      </c>
      <c r="AQ156" s="152">
        <v>88</v>
      </c>
      <c r="AR156" s="152">
        <v>90</v>
      </c>
      <c r="AS156" s="152">
        <v>87</v>
      </c>
      <c r="AT156" s="152">
        <v>80</v>
      </c>
      <c r="AU156" s="171">
        <v>80</v>
      </c>
      <c r="AV156" s="152">
        <v>81</v>
      </c>
      <c r="AW156" s="152">
        <v>79</v>
      </c>
      <c r="AX156" s="152">
        <v>94</v>
      </c>
      <c r="AY156" s="152">
        <v>94</v>
      </c>
      <c r="AZ156" s="171">
        <v>94</v>
      </c>
      <c r="BA156" s="152">
        <v>103</v>
      </c>
      <c r="BB156" s="152">
        <v>110</v>
      </c>
      <c r="BC156" s="152">
        <v>106</v>
      </c>
      <c r="BD156" s="152">
        <v>175</v>
      </c>
      <c r="BE156" s="171">
        <v>175</v>
      </c>
    </row>
    <row r="157" spans="1:57" ht="15" customHeight="1">
      <c r="A157" s="69" t="s">
        <v>237</v>
      </c>
      <c r="B157" s="123" t="s">
        <v>44</v>
      </c>
      <c r="C157" s="80" t="s">
        <v>52</v>
      </c>
      <c r="D157" s="80" t="s">
        <v>52</v>
      </c>
      <c r="E157" s="80" t="s">
        <v>52</v>
      </c>
      <c r="F157" s="80" t="s">
        <v>52</v>
      </c>
      <c r="G157" s="123" t="s">
        <v>44</v>
      </c>
      <c r="H157" s="80" t="s">
        <v>52</v>
      </c>
      <c r="I157" s="80" t="s">
        <v>52</v>
      </c>
      <c r="J157" s="80" t="s">
        <v>52</v>
      </c>
      <c r="K157" s="80" t="s">
        <v>52</v>
      </c>
      <c r="L157" s="123" t="s">
        <v>44</v>
      </c>
      <c r="M157" s="80" t="s">
        <v>52</v>
      </c>
      <c r="N157" s="80" t="s">
        <v>52</v>
      </c>
      <c r="O157" s="80" t="s">
        <v>52</v>
      </c>
      <c r="P157" s="80" t="s">
        <v>52</v>
      </c>
      <c r="Q157" s="123" t="s">
        <v>44</v>
      </c>
      <c r="R157" s="80" t="s">
        <v>52</v>
      </c>
      <c r="S157" s="80" t="s">
        <v>52</v>
      </c>
      <c r="T157" s="80" t="s">
        <v>52</v>
      </c>
      <c r="U157" s="80" t="s">
        <v>52</v>
      </c>
      <c r="V157" s="123" t="s">
        <v>44</v>
      </c>
      <c r="W157" s="80" t="s">
        <v>52</v>
      </c>
      <c r="X157" s="80" t="s">
        <v>52</v>
      </c>
      <c r="Y157" s="80" t="s">
        <v>52</v>
      </c>
      <c r="Z157" s="80" t="s">
        <v>52</v>
      </c>
      <c r="AA157" s="123" t="s">
        <v>44</v>
      </c>
      <c r="AB157" s="80" t="s">
        <v>52</v>
      </c>
      <c r="AC157" s="80" t="s">
        <v>52</v>
      </c>
      <c r="AD157" s="80" t="s">
        <v>52</v>
      </c>
      <c r="AE157" s="80" t="s">
        <v>52</v>
      </c>
      <c r="AF157" s="123" t="s">
        <v>44</v>
      </c>
      <c r="AG157" s="80" t="s">
        <v>52</v>
      </c>
      <c r="AH157" s="80" t="s">
        <v>52</v>
      </c>
      <c r="AI157" s="80" t="s">
        <v>52</v>
      </c>
      <c r="AJ157" s="80" t="s">
        <v>52</v>
      </c>
      <c r="AK157" s="123" t="s">
        <v>44</v>
      </c>
      <c r="AL157" s="80" t="s">
        <v>52</v>
      </c>
      <c r="AM157" s="80" t="s">
        <v>52</v>
      </c>
      <c r="AN157" s="80" t="s">
        <v>52</v>
      </c>
      <c r="AO157" s="80" t="s">
        <v>52</v>
      </c>
      <c r="AP157" s="215" t="s">
        <v>147</v>
      </c>
      <c r="AQ157" s="151" t="s">
        <v>147</v>
      </c>
      <c r="AR157" s="151" t="s">
        <v>147</v>
      </c>
      <c r="AS157" s="152">
        <v>665</v>
      </c>
      <c r="AT157" s="151" t="s">
        <v>147</v>
      </c>
      <c r="AU157" s="215" t="s">
        <v>147</v>
      </c>
      <c r="AV157" s="151" t="s">
        <v>147</v>
      </c>
      <c r="AW157" s="151" t="s">
        <v>147</v>
      </c>
      <c r="AX157" s="152">
        <v>708</v>
      </c>
      <c r="AY157" s="151" t="s">
        <v>147</v>
      </c>
      <c r="AZ157" s="215" t="s">
        <v>147</v>
      </c>
      <c r="BA157" s="151" t="s">
        <v>147</v>
      </c>
      <c r="BB157" s="151" t="s">
        <v>147</v>
      </c>
      <c r="BC157" s="152">
        <v>318</v>
      </c>
      <c r="BD157" s="151" t="s">
        <v>147</v>
      </c>
      <c r="BE157" s="215" t="s">
        <v>147</v>
      </c>
    </row>
    <row r="158" spans="1:57" ht="15" customHeight="1">
      <c r="A158" s="40" t="s">
        <v>238</v>
      </c>
      <c r="B158" s="40"/>
      <c r="C158" s="214"/>
      <c r="D158" s="214"/>
      <c r="E158" s="214"/>
      <c r="F158" s="214"/>
      <c r="G158" s="40"/>
      <c r="H158" s="214"/>
      <c r="I158" s="214"/>
      <c r="J158" s="214"/>
      <c r="K158" s="214"/>
      <c r="L158" s="40"/>
      <c r="M158" s="214"/>
      <c r="N158" s="214"/>
      <c r="O158" s="214"/>
      <c r="P158" s="214"/>
      <c r="Q158" s="40"/>
      <c r="R158" s="214"/>
      <c r="S158" s="214"/>
      <c r="T158" s="214"/>
      <c r="U158" s="214"/>
      <c r="V158" s="40"/>
      <c r="W158" s="214"/>
      <c r="X158" s="214"/>
      <c r="Y158" s="214"/>
      <c r="Z158" s="214"/>
      <c r="AA158" s="40"/>
      <c r="AB158" s="214"/>
      <c r="AC158" s="214"/>
      <c r="AD158" s="214"/>
      <c r="AE158" s="214"/>
      <c r="AF158" s="40"/>
      <c r="AG158" s="214"/>
      <c r="AH158" s="214"/>
      <c r="AI158" s="214"/>
      <c r="AJ158" s="214"/>
      <c r="AK158" s="40"/>
      <c r="AL158" s="214"/>
      <c r="AM158" s="214"/>
      <c r="AN158" s="214"/>
      <c r="AO158" s="214"/>
      <c r="AP158" s="40"/>
      <c r="AQ158" s="214">
        <v>5212</v>
      </c>
      <c r="AR158" s="214">
        <v>4830</v>
      </c>
      <c r="AS158" s="214">
        <v>4943</v>
      </c>
      <c r="AT158" s="214">
        <v>3966</v>
      </c>
      <c r="AU158" s="214">
        <v>3966</v>
      </c>
      <c r="AV158" s="214">
        <v>3806</v>
      </c>
      <c r="AW158" s="214">
        <v>3075</v>
      </c>
      <c r="AX158" s="214">
        <v>3533</v>
      </c>
      <c r="AY158" s="214">
        <v>3857</v>
      </c>
      <c r="AZ158" s="214">
        <v>3857</v>
      </c>
      <c r="BA158" s="214">
        <v>4289</v>
      </c>
      <c r="BB158" s="214">
        <v>4275</v>
      </c>
      <c r="BC158" s="214">
        <v>4606</v>
      </c>
      <c r="BD158" s="214">
        <v>4433</v>
      </c>
      <c r="BE158" s="214">
        <v>4433</v>
      </c>
    </row>
    <row r="159" spans="1:57" ht="15" customHeight="1">
      <c r="A159" s="69" t="s">
        <v>241</v>
      </c>
      <c r="B159" s="123" t="s">
        <v>44</v>
      </c>
      <c r="C159" s="80" t="s">
        <v>52</v>
      </c>
      <c r="D159" s="80" t="s">
        <v>52</v>
      </c>
      <c r="E159" s="80" t="s">
        <v>52</v>
      </c>
      <c r="F159" s="80" t="s">
        <v>52</v>
      </c>
      <c r="G159" s="123" t="s">
        <v>44</v>
      </c>
      <c r="H159" s="80" t="s">
        <v>52</v>
      </c>
      <c r="I159" s="80" t="s">
        <v>52</v>
      </c>
      <c r="J159" s="80" t="s">
        <v>52</v>
      </c>
      <c r="K159" s="80" t="s">
        <v>52</v>
      </c>
      <c r="L159" s="123" t="s">
        <v>44</v>
      </c>
      <c r="M159" s="80" t="s">
        <v>52</v>
      </c>
      <c r="N159" s="80" t="s">
        <v>52</v>
      </c>
      <c r="O159" s="80" t="s">
        <v>52</v>
      </c>
      <c r="P159" s="80" t="s">
        <v>52</v>
      </c>
      <c r="Q159" s="123" t="s">
        <v>44</v>
      </c>
      <c r="R159" s="80" t="s">
        <v>52</v>
      </c>
      <c r="S159" s="80" t="s">
        <v>52</v>
      </c>
      <c r="T159" s="80" t="s">
        <v>52</v>
      </c>
      <c r="U159" s="80" t="s">
        <v>52</v>
      </c>
      <c r="V159" s="123" t="s">
        <v>44</v>
      </c>
      <c r="W159" s="80" t="s">
        <v>52</v>
      </c>
      <c r="X159" s="80" t="s">
        <v>52</v>
      </c>
      <c r="Y159" s="80" t="s">
        <v>52</v>
      </c>
      <c r="Z159" s="80" t="s">
        <v>52</v>
      </c>
      <c r="AA159" s="123" t="s">
        <v>44</v>
      </c>
      <c r="AB159" s="80" t="s">
        <v>52</v>
      </c>
      <c r="AC159" s="80" t="s">
        <v>52</v>
      </c>
      <c r="AD159" s="80" t="s">
        <v>52</v>
      </c>
      <c r="AE159" s="80" t="s">
        <v>52</v>
      </c>
      <c r="AF159" s="123" t="s">
        <v>44</v>
      </c>
      <c r="AG159" s="80" t="s">
        <v>52</v>
      </c>
      <c r="AH159" s="80" t="s">
        <v>52</v>
      </c>
      <c r="AI159" s="80" t="s">
        <v>52</v>
      </c>
      <c r="AJ159" s="80" t="s">
        <v>52</v>
      </c>
      <c r="AK159" s="123" t="s">
        <v>44</v>
      </c>
      <c r="AL159" s="80" t="s">
        <v>52</v>
      </c>
      <c r="AM159" s="80" t="s">
        <v>52</v>
      </c>
      <c r="AN159" s="80" t="s">
        <v>52</v>
      </c>
      <c r="AO159" s="80" t="s">
        <v>52</v>
      </c>
      <c r="AP159" s="171">
        <v>8800</v>
      </c>
      <c r="AQ159" s="152">
        <v>8532</v>
      </c>
      <c r="AR159" s="152">
        <v>9546</v>
      </c>
      <c r="AS159" s="152">
        <v>9111</v>
      </c>
      <c r="AT159" s="152">
        <v>9128</v>
      </c>
      <c r="AU159" s="171">
        <v>9128</v>
      </c>
      <c r="AV159" s="152">
        <v>9109</v>
      </c>
      <c r="AW159" s="152">
        <v>10561</v>
      </c>
      <c r="AX159" s="152">
        <v>10978</v>
      </c>
      <c r="AY159" s="152">
        <v>10229</v>
      </c>
      <c r="AZ159" s="171">
        <v>10229</v>
      </c>
      <c r="BA159" s="152">
        <v>10547</v>
      </c>
      <c r="BB159" s="152">
        <v>10204</v>
      </c>
      <c r="BC159" s="152">
        <v>10149</v>
      </c>
      <c r="BD159" s="152">
        <v>9637</v>
      </c>
      <c r="BE159" s="171">
        <v>9637</v>
      </c>
    </row>
    <row r="160" spans="1:57" ht="15" customHeight="1">
      <c r="A160" s="69" t="s">
        <v>258</v>
      </c>
      <c r="B160" s="123"/>
      <c r="C160" s="80"/>
      <c r="D160" s="80"/>
      <c r="E160" s="80"/>
      <c r="F160" s="80"/>
      <c r="G160" s="123"/>
      <c r="H160" s="80"/>
      <c r="I160" s="80"/>
      <c r="J160" s="80"/>
      <c r="K160" s="80"/>
      <c r="L160" s="123"/>
      <c r="M160" s="80"/>
      <c r="N160" s="80"/>
      <c r="O160" s="80"/>
      <c r="P160" s="80"/>
      <c r="Q160" s="123"/>
      <c r="R160" s="80"/>
      <c r="S160" s="80"/>
      <c r="T160" s="80"/>
      <c r="U160" s="80"/>
      <c r="V160" s="123"/>
      <c r="W160" s="80"/>
      <c r="X160" s="80"/>
      <c r="Y160" s="80"/>
      <c r="Z160" s="80"/>
      <c r="AA160" s="123"/>
      <c r="AB160" s="80"/>
      <c r="AC160" s="80"/>
      <c r="AD160" s="80"/>
      <c r="AE160" s="80"/>
      <c r="AF160" s="123"/>
      <c r="AG160" s="80"/>
      <c r="AH160" s="80"/>
      <c r="AI160" s="80"/>
      <c r="AJ160" s="80"/>
      <c r="AK160" s="123"/>
      <c r="AL160" s="80"/>
      <c r="AM160" s="80"/>
      <c r="AN160" s="80"/>
      <c r="AO160" s="80"/>
      <c r="AP160" s="171"/>
      <c r="AQ160" s="152"/>
      <c r="AR160" s="152"/>
      <c r="AS160" s="152"/>
      <c r="AT160" s="152"/>
      <c r="AU160" s="171"/>
      <c r="AV160" s="152"/>
      <c r="AW160" s="152"/>
      <c r="AX160" s="152"/>
      <c r="AY160" s="152"/>
      <c r="AZ160" s="171"/>
      <c r="BA160" s="152">
        <v>1006</v>
      </c>
      <c r="BB160" s="152">
        <v>1034</v>
      </c>
      <c r="BC160" s="152">
        <v>1024</v>
      </c>
      <c r="BD160" s="152">
        <v>1106</v>
      </c>
      <c r="BE160" s="171">
        <v>1106</v>
      </c>
    </row>
    <row r="161" spans="1:16384" ht="15" customHeight="1">
      <c r="A161" s="69" t="s">
        <v>235</v>
      </c>
      <c r="B161" s="123" t="s">
        <v>44</v>
      </c>
      <c r="C161" s="80" t="s">
        <v>52</v>
      </c>
      <c r="D161" s="80" t="s">
        <v>52</v>
      </c>
      <c r="E161" s="80" t="s">
        <v>52</v>
      </c>
      <c r="F161" s="80" t="s">
        <v>52</v>
      </c>
      <c r="G161" s="123" t="s">
        <v>44</v>
      </c>
      <c r="H161" s="80" t="s">
        <v>52</v>
      </c>
      <c r="I161" s="80" t="s">
        <v>52</v>
      </c>
      <c r="J161" s="80" t="s">
        <v>52</v>
      </c>
      <c r="K161" s="80" t="s">
        <v>52</v>
      </c>
      <c r="L161" s="123" t="s">
        <v>44</v>
      </c>
      <c r="M161" s="80" t="s">
        <v>52</v>
      </c>
      <c r="N161" s="80" t="s">
        <v>52</v>
      </c>
      <c r="O161" s="80" t="s">
        <v>52</v>
      </c>
      <c r="P161" s="80" t="s">
        <v>52</v>
      </c>
      <c r="Q161" s="123" t="s">
        <v>44</v>
      </c>
      <c r="R161" s="80" t="s">
        <v>52</v>
      </c>
      <c r="S161" s="80" t="s">
        <v>52</v>
      </c>
      <c r="T161" s="80" t="s">
        <v>52</v>
      </c>
      <c r="U161" s="80" t="s">
        <v>52</v>
      </c>
      <c r="V161" s="123" t="s">
        <v>44</v>
      </c>
      <c r="W161" s="80" t="s">
        <v>52</v>
      </c>
      <c r="X161" s="80" t="s">
        <v>52</v>
      </c>
      <c r="Y161" s="80" t="s">
        <v>52</v>
      </c>
      <c r="Z161" s="80" t="s">
        <v>52</v>
      </c>
      <c r="AA161" s="123" t="s">
        <v>44</v>
      </c>
      <c r="AB161" s="80" t="s">
        <v>52</v>
      </c>
      <c r="AC161" s="80" t="s">
        <v>52</v>
      </c>
      <c r="AD161" s="80" t="s">
        <v>52</v>
      </c>
      <c r="AE161" s="80" t="s">
        <v>52</v>
      </c>
      <c r="AF161" s="123" t="s">
        <v>44</v>
      </c>
      <c r="AG161" s="80" t="s">
        <v>52</v>
      </c>
      <c r="AH161" s="80" t="s">
        <v>52</v>
      </c>
      <c r="AI161" s="80" t="s">
        <v>52</v>
      </c>
      <c r="AJ161" s="80" t="s">
        <v>52</v>
      </c>
      <c r="AK161" s="123" t="s">
        <v>44</v>
      </c>
      <c r="AL161" s="80" t="s">
        <v>52</v>
      </c>
      <c r="AM161" s="80" t="s">
        <v>52</v>
      </c>
      <c r="AN161" s="80" t="s">
        <v>52</v>
      </c>
      <c r="AO161" s="80" t="s">
        <v>52</v>
      </c>
      <c r="AP161" s="171">
        <v>240</v>
      </c>
      <c r="AQ161" s="152">
        <v>238</v>
      </c>
      <c r="AR161" s="152">
        <v>239</v>
      </c>
      <c r="AS161" s="152">
        <v>237</v>
      </c>
      <c r="AT161" s="152">
        <v>258</v>
      </c>
      <c r="AU161" s="171">
        <v>258</v>
      </c>
      <c r="AV161" s="152">
        <v>260</v>
      </c>
      <c r="AW161" s="152">
        <v>259</v>
      </c>
      <c r="AX161" s="152">
        <v>260</v>
      </c>
      <c r="AY161" s="152">
        <v>272</v>
      </c>
      <c r="AZ161" s="171">
        <v>272</v>
      </c>
      <c r="BA161" s="152">
        <v>272</v>
      </c>
      <c r="BB161" s="152">
        <v>267</v>
      </c>
      <c r="BC161" s="152">
        <v>266</v>
      </c>
      <c r="BD161" s="152">
        <v>445</v>
      </c>
      <c r="BE161" s="171">
        <v>445</v>
      </c>
    </row>
    <row r="162" spans="1:16384" ht="15" customHeight="1">
      <c r="A162" s="69" t="s">
        <v>242</v>
      </c>
      <c r="B162" s="123" t="s">
        <v>44</v>
      </c>
      <c r="C162" s="80" t="s">
        <v>52</v>
      </c>
      <c r="D162" s="80" t="s">
        <v>52</v>
      </c>
      <c r="E162" s="80" t="s">
        <v>52</v>
      </c>
      <c r="F162" s="80" t="s">
        <v>52</v>
      </c>
      <c r="G162" s="123" t="s">
        <v>44</v>
      </c>
      <c r="H162" s="80" t="s">
        <v>52</v>
      </c>
      <c r="I162" s="80" t="s">
        <v>52</v>
      </c>
      <c r="J162" s="80" t="s">
        <v>52</v>
      </c>
      <c r="K162" s="80" t="s">
        <v>52</v>
      </c>
      <c r="L162" s="123" t="s">
        <v>44</v>
      </c>
      <c r="M162" s="80" t="s">
        <v>52</v>
      </c>
      <c r="N162" s="80" t="s">
        <v>52</v>
      </c>
      <c r="O162" s="80" t="s">
        <v>52</v>
      </c>
      <c r="P162" s="80" t="s">
        <v>52</v>
      </c>
      <c r="Q162" s="123" t="s">
        <v>44</v>
      </c>
      <c r="R162" s="80" t="s">
        <v>52</v>
      </c>
      <c r="S162" s="80" t="s">
        <v>52</v>
      </c>
      <c r="T162" s="80" t="s">
        <v>52</v>
      </c>
      <c r="U162" s="80" t="s">
        <v>52</v>
      </c>
      <c r="V162" s="123" t="s">
        <v>44</v>
      </c>
      <c r="W162" s="80" t="s">
        <v>52</v>
      </c>
      <c r="X162" s="80" t="s">
        <v>52</v>
      </c>
      <c r="Y162" s="80" t="s">
        <v>52</v>
      </c>
      <c r="Z162" s="80" t="s">
        <v>52</v>
      </c>
      <c r="AA162" s="123" t="s">
        <v>44</v>
      </c>
      <c r="AB162" s="80" t="s">
        <v>52</v>
      </c>
      <c r="AC162" s="80" t="s">
        <v>52</v>
      </c>
      <c r="AD162" s="80" t="s">
        <v>52</v>
      </c>
      <c r="AE162" s="80" t="s">
        <v>52</v>
      </c>
      <c r="AF162" s="123" t="s">
        <v>44</v>
      </c>
      <c r="AG162" s="80" t="s">
        <v>52</v>
      </c>
      <c r="AH162" s="80" t="s">
        <v>52</v>
      </c>
      <c r="AI162" s="80" t="s">
        <v>52</v>
      </c>
      <c r="AJ162" s="80" t="s">
        <v>52</v>
      </c>
      <c r="AK162" s="123" t="s">
        <v>44</v>
      </c>
      <c r="AL162" s="80" t="s">
        <v>52</v>
      </c>
      <c r="AM162" s="80" t="s">
        <v>52</v>
      </c>
      <c r="AN162" s="80" t="s">
        <v>52</v>
      </c>
      <c r="AO162" s="80" t="s">
        <v>52</v>
      </c>
      <c r="AP162" s="171">
        <v>226</v>
      </c>
      <c r="AQ162" s="152">
        <v>262</v>
      </c>
      <c r="AR162" s="152">
        <v>252</v>
      </c>
      <c r="AS162" s="152">
        <v>257</v>
      </c>
      <c r="AT162" s="152">
        <v>244</v>
      </c>
      <c r="AU162" s="171">
        <v>244</v>
      </c>
      <c r="AV162" s="152">
        <v>250</v>
      </c>
      <c r="AW162" s="152">
        <v>251</v>
      </c>
      <c r="AX162" s="152">
        <v>292</v>
      </c>
      <c r="AY162" s="152">
        <v>234</v>
      </c>
      <c r="AZ162" s="171">
        <v>234</v>
      </c>
      <c r="BA162" s="152">
        <v>258</v>
      </c>
      <c r="BB162" s="152">
        <v>210</v>
      </c>
      <c r="BC162" s="152">
        <v>212</v>
      </c>
      <c r="BD162" s="152">
        <v>174</v>
      </c>
      <c r="BE162" s="171">
        <v>174</v>
      </c>
    </row>
    <row r="163" spans="1:16384" ht="15" customHeight="1">
      <c r="A163" s="69" t="s">
        <v>243</v>
      </c>
      <c r="B163" s="123" t="s">
        <v>44</v>
      </c>
      <c r="C163" s="80" t="s">
        <v>52</v>
      </c>
      <c r="D163" s="80" t="s">
        <v>52</v>
      </c>
      <c r="E163" s="80" t="s">
        <v>52</v>
      </c>
      <c r="F163" s="80" t="s">
        <v>52</v>
      </c>
      <c r="G163" s="123" t="s">
        <v>44</v>
      </c>
      <c r="H163" s="80" t="s">
        <v>52</v>
      </c>
      <c r="I163" s="80" t="s">
        <v>52</v>
      </c>
      <c r="J163" s="80" t="s">
        <v>52</v>
      </c>
      <c r="K163" s="80" t="s">
        <v>52</v>
      </c>
      <c r="L163" s="123" t="s">
        <v>44</v>
      </c>
      <c r="M163" s="80" t="s">
        <v>52</v>
      </c>
      <c r="N163" s="80" t="s">
        <v>52</v>
      </c>
      <c r="O163" s="80" t="s">
        <v>52</v>
      </c>
      <c r="P163" s="80" t="s">
        <v>52</v>
      </c>
      <c r="Q163" s="123" t="s">
        <v>44</v>
      </c>
      <c r="R163" s="80" t="s">
        <v>52</v>
      </c>
      <c r="S163" s="80" t="s">
        <v>52</v>
      </c>
      <c r="T163" s="80" t="s">
        <v>52</v>
      </c>
      <c r="U163" s="80" t="s">
        <v>52</v>
      </c>
      <c r="V163" s="123" t="s">
        <v>44</v>
      </c>
      <c r="W163" s="80" t="s">
        <v>52</v>
      </c>
      <c r="X163" s="80" t="s">
        <v>52</v>
      </c>
      <c r="Y163" s="80" t="s">
        <v>52</v>
      </c>
      <c r="Z163" s="80" t="s">
        <v>52</v>
      </c>
      <c r="AA163" s="123" t="s">
        <v>44</v>
      </c>
      <c r="AB163" s="80" t="s">
        <v>52</v>
      </c>
      <c r="AC163" s="80" t="s">
        <v>52</v>
      </c>
      <c r="AD163" s="80" t="s">
        <v>52</v>
      </c>
      <c r="AE163" s="80" t="s">
        <v>52</v>
      </c>
      <c r="AF163" s="123" t="s">
        <v>44</v>
      </c>
      <c r="AG163" s="80" t="s">
        <v>52</v>
      </c>
      <c r="AH163" s="80" t="s">
        <v>52</v>
      </c>
      <c r="AI163" s="80" t="s">
        <v>52</v>
      </c>
      <c r="AJ163" s="80" t="s">
        <v>52</v>
      </c>
      <c r="AK163" s="123" t="s">
        <v>44</v>
      </c>
      <c r="AL163" s="80" t="s">
        <v>52</v>
      </c>
      <c r="AM163" s="80" t="s">
        <v>52</v>
      </c>
      <c r="AN163" s="80" t="s">
        <v>52</v>
      </c>
      <c r="AO163" s="80" t="s">
        <v>52</v>
      </c>
      <c r="AP163" s="171">
        <v>51</v>
      </c>
      <c r="AQ163" s="152">
        <v>50</v>
      </c>
      <c r="AR163" s="152">
        <v>75</v>
      </c>
      <c r="AS163" s="152">
        <v>81</v>
      </c>
      <c r="AT163" s="152">
        <v>101</v>
      </c>
      <c r="AU163" s="171">
        <v>101</v>
      </c>
      <c r="AV163" s="152">
        <v>103</v>
      </c>
      <c r="AW163" s="152">
        <v>99</v>
      </c>
      <c r="AX163" s="152">
        <v>104</v>
      </c>
      <c r="AY163" s="152">
        <v>73</v>
      </c>
      <c r="AZ163" s="171">
        <v>73</v>
      </c>
      <c r="BA163" s="152">
        <v>86</v>
      </c>
      <c r="BB163" s="152">
        <v>74</v>
      </c>
      <c r="BC163" s="152">
        <v>91</v>
      </c>
      <c r="BD163" s="152">
        <v>56</v>
      </c>
      <c r="BE163" s="171">
        <v>56</v>
      </c>
    </row>
    <row r="164" spans="1:16384" ht="15" customHeight="1">
      <c r="A164" s="69" t="s">
        <v>236</v>
      </c>
      <c r="B164" s="123" t="s">
        <v>44</v>
      </c>
      <c r="C164" s="80" t="s">
        <v>52</v>
      </c>
      <c r="D164" s="80" t="s">
        <v>52</v>
      </c>
      <c r="E164" s="80" t="s">
        <v>52</v>
      </c>
      <c r="F164" s="80" t="s">
        <v>52</v>
      </c>
      <c r="G164" s="123" t="s">
        <v>44</v>
      </c>
      <c r="H164" s="80" t="s">
        <v>52</v>
      </c>
      <c r="I164" s="80" t="s">
        <v>52</v>
      </c>
      <c r="J164" s="80" t="s">
        <v>52</v>
      </c>
      <c r="K164" s="80" t="s">
        <v>52</v>
      </c>
      <c r="L164" s="123" t="s">
        <v>44</v>
      </c>
      <c r="M164" s="80" t="s">
        <v>52</v>
      </c>
      <c r="N164" s="80" t="s">
        <v>52</v>
      </c>
      <c r="O164" s="80" t="s">
        <v>52</v>
      </c>
      <c r="P164" s="80" t="s">
        <v>52</v>
      </c>
      <c r="Q164" s="123" t="s">
        <v>44</v>
      </c>
      <c r="R164" s="80" t="s">
        <v>52</v>
      </c>
      <c r="S164" s="80" t="s">
        <v>52</v>
      </c>
      <c r="T164" s="80" t="s">
        <v>52</v>
      </c>
      <c r="U164" s="80" t="s">
        <v>52</v>
      </c>
      <c r="V164" s="123" t="s">
        <v>44</v>
      </c>
      <c r="W164" s="80" t="s">
        <v>52</v>
      </c>
      <c r="X164" s="80" t="s">
        <v>52</v>
      </c>
      <c r="Y164" s="80" t="s">
        <v>52</v>
      </c>
      <c r="Z164" s="80" t="s">
        <v>52</v>
      </c>
      <c r="AA164" s="123" t="s">
        <v>44</v>
      </c>
      <c r="AB164" s="80" t="s">
        <v>52</v>
      </c>
      <c r="AC164" s="80" t="s">
        <v>52</v>
      </c>
      <c r="AD164" s="80" t="s">
        <v>52</v>
      </c>
      <c r="AE164" s="80" t="s">
        <v>52</v>
      </c>
      <c r="AF164" s="123" t="s">
        <v>44</v>
      </c>
      <c r="AG164" s="80" t="s">
        <v>52</v>
      </c>
      <c r="AH164" s="80" t="s">
        <v>52</v>
      </c>
      <c r="AI164" s="80" t="s">
        <v>52</v>
      </c>
      <c r="AJ164" s="80" t="s">
        <v>52</v>
      </c>
      <c r="AK164" s="123" t="s">
        <v>44</v>
      </c>
      <c r="AL164" s="80" t="s">
        <v>52</v>
      </c>
      <c r="AM164" s="80" t="s">
        <v>52</v>
      </c>
      <c r="AN164" s="80" t="s">
        <v>52</v>
      </c>
      <c r="AO164" s="80" t="s">
        <v>52</v>
      </c>
      <c r="AP164" s="171">
        <v>46</v>
      </c>
      <c r="AQ164" s="152">
        <v>46</v>
      </c>
      <c r="AR164" s="152">
        <v>46</v>
      </c>
      <c r="AS164" s="152">
        <v>47</v>
      </c>
      <c r="AT164" s="152">
        <v>47</v>
      </c>
      <c r="AU164" s="171">
        <v>47</v>
      </c>
      <c r="AV164" s="152">
        <v>47</v>
      </c>
      <c r="AW164" s="152">
        <v>48</v>
      </c>
      <c r="AX164" s="152">
        <v>48</v>
      </c>
      <c r="AY164" s="152">
        <v>40</v>
      </c>
      <c r="AZ164" s="171">
        <v>40</v>
      </c>
      <c r="BA164" s="152">
        <v>39</v>
      </c>
      <c r="BB164" s="152">
        <v>40</v>
      </c>
      <c r="BC164" s="152">
        <v>40</v>
      </c>
      <c r="BD164" s="152">
        <v>38</v>
      </c>
      <c r="BE164" s="171">
        <v>38</v>
      </c>
    </row>
    <row r="165" spans="1:16384" ht="15" customHeight="1">
      <c r="A165" s="40" t="s">
        <v>239</v>
      </c>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214"/>
      <c r="AM165" s="214"/>
      <c r="AN165" s="214"/>
      <c r="AO165" s="214"/>
      <c r="AP165" s="214">
        <v>9363</v>
      </c>
      <c r="AQ165" s="214">
        <v>9128</v>
      </c>
      <c r="AR165" s="214">
        <v>10158</v>
      </c>
      <c r="AS165" s="214">
        <v>9733</v>
      </c>
      <c r="AT165" s="214">
        <v>9778</v>
      </c>
      <c r="AU165" s="214">
        <v>9778</v>
      </c>
      <c r="AV165" s="214">
        <v>9769</v>
      </c>
      <c r="AW165" s="214">
        <v>11218</v>
      </c>
      <c r="AX165" s="214">
        <v>11682</v>
      </c>
      <c r="AY165" s="214">
        <v>10848</v>
      </c>
      <c r="AZ165" s="214">
        <v>10848</v>
      </c>
      <c r="BA165" s="214">
        <v>12208</v>
      </c>
      <c r="BB165" s="214">
        <v>11829</v>
      </c>
      <c r="BC165" s="214">
        <v>11782</v>
      </c>
      <c r="BD165" s="214">
        <v>11456</v>
      </c>
      <c r="BE165" s="214">
        <v>11456</v>
      </c>
      <c r="BF165" s="227"/>
    </row>
    <row r="166" spans="1:16384" ht="15" customHeight="1">
      <c r="A166" s="40" t="s">
        <v>240</v>
      </c>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214"/>
      <c r="AM166" s="214"/>
      <c r="AN166" s="214"/>
      <c r="AO166" s="214"/>
      <c r="AP166" s="219">
        <v>2411</v>
      </c>
      <c r="AQ166" s="214">
        <v>2693</v>
      </c>
      <c r="AR166" s="214">
        <v>2299</v>
      </c>
      <c r="AS166" s="214">
        <v>2027</v>
      </c>
      <c r="AT166" s="214">
        <v>2203</v>
      </c>
      <c r="AU166" s="214">
        <v>2203</v>
      </c>
      <c r="AV166" s="214">
        <v>2559</v>
      </c>
      <c r="AW166" s="214">
        <v>2325</v>
      </c>
      <c r="AX166" s="214">
        <v>1927</v>
      </c>
      <c r="AY166" s="214">
        <v>2144</v>
      </c>
      <c r="AZ166" s="214">
        <v>2144</v>
      </c>
      <c r="BA166" s="214">
        <v>2425</v>
      </c>
      <c r="BB166" s="214">
        <v>2257</v>
      </c>
      <c r="BC166" s="214">
        <v>2170</v>
      </c>
      <c r="BD166" s="214">
        <v>434</v>
      </c>
      <c r="BE166" s="214">
        <v>434</v>
      </c>
    </row>
    <row r="167" spans="1:16384" ht="15.75" customHeight="1">
      <c r="C167"/>
      <c r="D167"/>
      <c r="E167"/>
      <c r="F167"/>
      <c r="G167"/>
      <c r="H167"/>
      <c r="I167"/>
      <c r="J167"/>
      <c r="K167"/>
      <c r="L167"/>
      <c r="M167"/>
      <c r="N167"/>
      <c r="O167"/>
      <c r="P167"/>
      <c r="Q167" s="216"/>
      <c r="R167"/>
      <c r="S167"/>
      <c r="T167"/>
      <c r="U167"/>
      <c r="V167" s="216"/>
      <c r="W167"/>
      <c r="X167"/>
      <c r="Y167"/>
      <c r="Z167"/>
      <c r="AA167" s="216"/>
      <c r="AB167"/>
      <c r="AC167"/>
      <c r="AD167"/>
      <c r="AE167"/>
      <c r="AF167" s="216"/>
      <c r="AG167"/>
      <c r="AH167"/>
      <c r="AI167"/>
      <c r="AJ167"/>
      <c r="AK167" s="216"/>
      <c r="AL167"/>
      <c r="AM167"/>
      <c r="AN167"/>
      <c r="AO167"/>
      <c r="AP167" s="216"/>
      <c r="AQ167"/>
      <c r="AR167"/>
      <c r="AS167"/>
      <c r="AT167"/>
      <c r="AU167" s="216"/>
      <c r="AV167"/>
      <c r="AW167"/>
      <c r="AX167"/>
      <c r="AY167"/>
      <c r="AZ167" s="216"/>
      <c r="BA167"/>
      <c r="BB167"/>
      <c r="BC167"/>
      <c r="BD167"/>
      <c r="BE167" s="216"/>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c r="IQ167"/>
      <c r="IR167"/>
      <c r="IS167"/>
      <c r="IT167"/>
      <c r="IU167"/>
      <c r="IV167"/>
      <c r="IW167"/>
      <c r="IX167"/>
      <c r="IY167"/>
      <c r="IZ167"/>
      <c r="JA167"/>
      <c r="JB167"/>
      <c r="JC167"/>
      <c r="JD167"/>
      <c r="JE167"/>
      <c r="JF167"/>
      <c r="JG167"/>
      <c r="JH167"/>
      <c r="JI167"/>
      <c r="JJ167"/>
      <c r="JK167"/>
      <c r="JL167"/>
      <c r="JM167"/>
      <c r="JN167"/>
      <c r="JO167"/>
      <c r="JP167"/>
      <c r="JQ167"/>
      <c r="JR167"/>
      <c r="JS167"/>
      <c r="JT167"/>
      <c r="JU167"/>
      <c r="JV167"/>
      <c r="JW167"/>
      <c r="JX167"/>
      <c r="JY167"/>
      <c r="JZ167"/>
      <c r="KA167"/>
      <c r="KB167"/>
      <c r="KC167"/>
      <c r="KD167"/>
      <c r="KE167"/>
      <c r="KF167"/>
      <c r="KG167"/>
      <c r="KH167"/>
      <c r="KI167"/>
      <c r="KJ167"/>
      <c r="KK167"/>
      <c r="KL167"/>
      <c r="KM167"/>
      <c r="KN167"/>
      <c r="KO167"/>
      <c r="KP167"/>
      <c r="KQ167"/>
      <c r="KR167"/>
      <c r="KS167"/>
      <c r="KT167"/>
      <c r="KU167"/>
      <c r="KV167"/>
      <c r="KW167"/>
      <c r="KX167"/>
      <c r="KY167"/>
      <c r="KZ167"/>
      <c r="LA167"/>
      <c r="LB167"/>
      <c r="LC167"/>
      <c r="LD167"/>
      <c r="LE167"/>
      <c r="LF167"/>
      <c r="LG167"/>
      <c r="LH167"/>
      <c r="LI167"/>
      <c r="LJ167"/>
      <c r="LK167"/>
      <c r="LL167"/>
      <c r="LM167"/>
      <c r="LN167"/>
      <c r="LO167"/>
      <c r="LP167"/>
      <c r="LQ167"/>
      <c r="LR167"/>
      <c r="LS167"/>
      <c r="LT167"/>
      <c r="LU167"/>
      <c r="LV167"/>
      <c r="LW167"/>
      <c r="LX167"/>
      <c r="LY167"/>
      <c r="LZ167"/>
      <c r="MA167"/>
      <c r="MB167"/>
      <c r="MC167"/>
      <c r="MD167"/>
      <c r="ME167"/>
      <c r="MF167"/>
      <c r="MG167"/>
      <c r="MH167"/>
      <c r="MI167"/>
      <c r="MJ167"/>
      <c r="MK167"/>
      <c r="ML167"/>
      <c r="MM167"/>
      <c r="MN167"/>
      <c r="MO167"/>
      <c r="MP167"/>
      <c r="MQ167"/>
      <c r="MR167"/>
      <c r="MS167"/>
      <c r="MT167"/>
      <c r="MU167"/>
      <c r="MV167"/>
      <c r="MW167"/>
      <c r="MX167"/>
      <c r="MY167"/>
      <c r="MZ167"/>
      <c r="NA167"/>
      <c r="NB167"/>
      <c r="NC167"/>
      <c r="ND167"/>
      <c r="NE167"/>
      <c r="NF167"/>
      <c r="NG167"/>
      <c r="NH167"/>
      <c r="NI167"/>
      <c r="NJ167"/>
      <c r="NK167"/>
      <c r="NL167"/>
      <c r="NM167"/>
      <c r="NN167"/>
      <c r="NO167"/>
      <c r="NP167"/>
      <c r="NQ167"/>
      <c r="NR167"/>
      <c r="NS167"/>
      <c r="NT167"/>
      <c r="NU167"/>
      <c r="NV167"/>
      <c r="NW167"/>
      <c r="NX167"/>
      <c r="NY167"/>
      <c r="NZ167"/>
      <c r="OA167"/>
      <c r="OB167"/>
      <c r="OC167"/>
      <c r="OD167"/>
      <c r="OE167"/>
      <c r="OF167"/>
      <c r="OG167"/>
      <c r="OH167"/>
      <c r="OI167"/>
      <c r="OJ167"/>
      <c r="OK167"/>
      <c r="OL167"/>
      <c r="OM167"/>
      <c r="ON167"/>
      <c r="OO167"/>
      <c r="OP167"/>
      <c r="OQ167"/>
      <c r="OR167"/>
      <c r="OS167"/>
      <c r="OT167"/>
      <c r="OU167"/>
      <c r="OV167"/>
      <c r="OW167"/>
      <c r="OX167"/>
      <c r="OY167"/>
      <c r="OZ167"/>
      <c r="PA167"/>
      <c r="PB167"/>
      <c r="PC167"/>
      <c r="PD167"/>
      <c r="PE167"/>
      <c r="PF167"/>
      <c r="PG167"/>
      <c r="PH167"/>
      <c r="PI167"/>
      <c r="PJ167"/>
      <c r="PK167"/>
      <c r="PL167"/>
      <c r="PM167"/>
      <c r="PN167"/>
      <c r="PO167"/>
      <c r="PP167"/>
      <c r="PQ167"/>
      <c r="PR167"/>
      <c r="PS167"/>
      <c r="PT167"/>
      <c r="PU167"/>
      <c r="PV167"/>
      <c r="PW167"/>
      <c r="PX167"/>
      <c r="PY167"/>
      <c r="PZ167"/>
      <c r="QA167"/>
      <c r="QB167"/>
      <c r="QC167"/>
      <c r="QD167"/>
      <c r="QE167"/>
      <c r="QF167"/>
      <c r="QG167"/>
      <c r="QH167"/>
      <c r="QI167"/>
      <c r="QJ167"/>
      <c r="QK167"/>
      <c r="QL167"/>
      <c r="QM167"/>
      <c r="QN167"/>
      <c r="QO167"/>
      <c r="QP167"/>
      <c r="QQ167"/>
      <c r="QR167"/>
      <c r="QS167"/>
      <c r="QT167"/>
      <c r="QU167"/>
      <c r="QV167"/>
      <c r="QW167"/>
      <c r="QX167"/>
      <c r="QY167"/>
      <c r="QZ167"/>
      <c r="RA167"/>
      <c r="RB167"/>
      <c r="RC167"/>
      <c r="RD167"/>
      <c r="RE167"/>
      <c r="RF167"/>
      <c r="RG167"/>
      <c r="RH167"/>
      <c r="RI167"/>
      <c r="RJ167"/>
      <c r="RK167"/>
      <c r="RL167"/>
      <c r="RM167"/>
      <c r="RN167"/>
      <c r="RO167"/>
      <c r="RP167"/>
      <c r="RQ167"/>
      <c r="RR167"/>
      <c r="RS167"/>
      <c r="RT167"/>
      <c r="RU167"/>
      <c r="RV167"/>
      <c r="RW167"/>
      <c r="RX167"/>
      <c r="RY167"/>
      <c r="RZ167"/>
      <c r="SA167"/>
      <c r="SB167"/>
      <c r="SC167"/>
      <c r="SD167"/>
      <c r="SE167"/>
      <c r="SF167"/>
      <c r="SG167"/>
      <c r="SH167"/>
      <c r="SI167"/>
      <c r="SJ167"/>
      <c r="SK167"/>
      <c r="SL167"/>
      <c r="SM167"/>
      <c r="SN167"/>
      <c r="SO167"/>
      <c r="SP167"/>
      <c r="SQ167"/>
      <c r="SR167"/>
      <c r="SS167"/>
      <c r="ST167"/>
      <c r="SU167"/>
      <c r="SV167"/>
      <c r="SW167"/>
      <c r="SX167"/>
      <c r="SY167"/>
      <c r="SZ167"/>
      <c r="TA167"/>
      <c r="TB167"/>
      <c r="TC167"/>
      <c r="TD167"/>
      <c r="TE167"/>
      <c r="TF167"/>
      <c r="TG167"/>
      <c r="TH167"/>
      <c r="TI167"/>
      <c r="TJ167"/>
      <c r="TK167"/>
      <c r="TL167"/>
      <c r="TM167"/>
      <c r="TN167"/>
      <c r="TO167"/>
      <c r="TP167"/>
      <c r="TQ167"/>
      <c r="TR167"/>
      <c r="TS167"/>
      <c r="TT167"/>
      <c r="TU167"/>
      <c r="TV167"/>
      <c r="TW167"/>
      <c r="TX167"/>
      <c r="TY167"/>
      <c r="TZ167"/>
      <c r="UA167"/>
      <c r="UB167"/>
      <c r="UC167"/>
      <c r="UD167"/>
      <c r="UE167"/>
      <c r="UF167"/>
      <c r="UG167"/>
      <c r="UH167"/>
      <c r="UI167"/>
      <c r="UJ167"/>
      <c r="UK167"/>
      <c r="UL167"/>
      <c r="UM167"/>
      <c r="UN167"/>
      <c r="UO167"/>
      <c r="UP167"/>
      <c r="UQ167"/>
      <c r="UR167"/>
      <c r="US167"/>
      <c r="UT167"/>
      <c r="UU167"/>
      <c r="UV167"/>
      <c r="UW167"/>
      <c r="UX167"/>
      <c r="UY167"/>
      <c r="UZ167"/>
      <c r="VA167"/>
      <c r="VB167"/>
      <c r="VC167"/>
      <c r="VD167"/>
      <c r="VE167"/>
      <c r="VF167"/>
      <c r="VG167"/>
      <c r="VH167"/>
      <c r="VI167"/>
      <c r="VJ167"/>
      <c r="VK167"/>
      <c r="VL167"/>
      <c r="VM167"/>
      <c r="VN167"/>
      <c r="VO167"/>
      <c r="VP167"/>
      <c r="VQ167"/>
      <c r="VR167"/>
      <c r="VS167"/>
      <c r="VT167"/>
      <c r="VU167"/>
      <c r="VV167"/>
      <c r="VW167"/>
      <c r="VX167"/>
      <c r="VY167"/>
      <c r="VZ167"/>
      <c r="WA167"/>
      <c r="WB167"/>
      <c r="WC167"/>
      <c r="WD167"/>
      <c r="WE167"/>
      <c r="WF167"/>
      <c r="WG167"/>
      <c r="WH167"/>
      <c r="WI167"/>
      <c r="WJ167"/>
      <c r="WK167"/>
      <c r="WL167"/>
      <c r="WM167"/>
      <c r="WN167"/>
      <c r="WO167"/>
      <c r="WP167"/>
      <c r="WQ167"/>
      <c r="WR167"/>
      <c r="WS167"/>
      <c r="WT167"/>
      <c r="WU167"/>
      <c r="WV167"/>
      <c r="WW167"/>
      <c r="WX167"/>
      <c r="WY167"/>
      <c r="WZ167"/>
      <c r="XA167"/>
      <c r="XB167"/>
      <c r="XC167"/>
      <c r="XD167"/>
      <c r="XE167"/>
      <c r="XF167"/>
      <c r="XG167"/>
      <c r="XH167"/>
      <c r="XI167"/>
      <c r="XJ167"/>
      <c r="XK167"/>
      <c r="XL167"/>
      <c r="XM167"/>
      <c r="XN167"/>
      <c r="XO167"/>
      <c r="XP167"/>
      <c r="XQ167"/>
      <c r="XR167"/>
      <c r="XS167"/>
      <c r="XT167"/>
      <c r="XU167"/>
      <c r="XV167"/>
      <c r="XW167"/>
      <c r="XX167"/>
      <c r="XY167"/>
      <c r="XZ167"/>
      <c r="YA167"/>
      <c r="YB167"/>
      <c r="YC167"/>
      <c r="YD167"/>
      <c r="YE167"/>
      <c r="YF167"/>
      <c r="YG167"/>
      <c r="YH167"/>
      <c r="YI167"/>
      <c r="YJ167"/>
      <c r="YK167"/>
      <c r="YL167"/>
      <c r="YM167"/>
      <c r="YN167"/>
      <c r="YO167"/>
      <c r="YP167"/>
      <c r="YQ167"/>
      <c r="YR167"/>
      <c r="YS167"/>
      <c r="YT167"/>
      <c r="YU167"/>
      <c r="YV167"/>
      <c r="YW167"/>
      <c r="YX167"/>
      <c r="YY167"/>
      <c r="YZ167"/>
      <c r="ZA167"/>
      <c r="ZB167"/>
      <c r="ZC167"/>
      <c r="ZD167"/>
      <c r="ZE167"/>
      <c r="ZF167"/>
      <c r="ZG167"/>
      <c r="ZH167"/>
      <c r="ZI167"/>
      <c r="ZJ167"/>
      <c r="ZK167"/>
      <c r="ZL167"/>
      <c r="ZM167"/>
      <c r="ZN167"/>
      <c r="ZO167"/>
      <c r="ZP167"/>
      <c r="ZQ167"/>
      <c r="ZR167"/>
      <c r="ZS167"/>
      <c r="ZT167"/>
      <c r="ZU167"/>
      <c r="ZV167"/>
      <c r="ZW167"/>
      <c r="ZX167"/>
      <c r="ZY167"/>
      <c r="ZZ167"/>
      <c r="AAA167"/>
      <c r="AAB167"/>
      <c r="AAC167"/>
      <c r="AAD167"/>
      <c r="AAE167"/>
      <c r="AAF167"/>
      <c r="AAG167"/>
      <c r="AAH167"/>
      <c r="AAI167"/>
      <c r="AAJ167"/>
      <c r="AAK167"/>
      <c r="AAL167"/>
      <c r="AAM167"/>
      <c r="AAN167"/>
      <c r="AAO167"/>
      <c r="AAP167"/>
      <c r="AAQ167"/>
      <c r="AAR167"/>
      <c r="AAS167"/>
      <c r="AAT167"/>
      <c r="AAU167"/>
      <c r="AAV167"/>
      <c r="AAW167"/>
      <c r="AAX167"/>
      <c r="AAY167"/>
      <c r="AAZ167"/>
      <c r="ABA167"/>
      <c r="ABB167"/>
      <c r="ABC167"/>
      <c r="ABD167"/>
      <c r="ABE167"/>
      <c r="ABF167"/>
      <c r="ABG167"/>
      <c r="ABH167"/>
      <c r="ABI167"/>
      <c r="ABJ167"/>
      <c r="ABK167"/>
      <c r="ABL167"/>
      <c r="ABM167"/>
      <c r="ABN167"/>
      <c r="ABO167"/>
      <c r="ABP167"/>
      <c r="ABQ167"/>
      <c r="ABR167"/>
      <c r="ABS167"/>
      <c r="ABT167"/>
      <c r="ABU167"/>
      <c r="ABV167"/>
      <c r="ABW167"/>
      <c r="ABX167"/>
      <c r="ABY167"/>
      <c r="ABZ167"/>
      <c r="ACA167"/>
      <c r="ACB167"/>
      <c r="ACC167"/>
      <c r="ACD167"/>
      <c r="ACE167"/>
      <c r="ACF167"/>
      <c r="ACG167"/>
      <c r="ACH167"/>
      <c r="ACI167"/>
      <c r="ACJ167"/>
      <c r="ACK167"/>
      <c r="ACL167"/>
      <c r="ACM167"/>
      <c r="ACN167"/>
      <c r="ACO167"/>
      <c r="ACP167"/>
      <c r="ACQ167"/>
      <c r="ACR167"/>
      <c r="ACS167"/>
      <c r="ACT167"/>
      <c r="ACU167"/>
      <c r="ACV167"/>
      <c r="ACW167"/>
      <c r="ACX167"/>
      <c r="ACY167"/>
      <c r="ACZ167"/>
      <c r="ADA167"/>
      <c r="ADB167"/>
      <c r="ADC167"/>
      <c r="ADD167"/>
      <c r="ADE167"/>
      <c r="ADF167"/>
      <c r="ADG167"/>
      <c r="ADH167"/>
      <c r="ADI167"/>
      <c r="ADJ167"/>
      <c r="ADK167"/>
      <c r="ADL167"/>
      <c r="ADM167"/>
      <c r="ADN167"/>
      <c r="ADO167"/>
      <c r="ADP167"/>
      <c r="ADQ167"/>
      <c r="ADR167"/>
      <c r="ADS167"/>
      <c r="ADT167"/>
      <c r="ADU167"/>
      <c r="ADV167"/>
      <c r="ADW167"/>
      <c r="ADX167"/>
      <c r="ADY167"/>
      <c r="ADZ167"/>
      <c r="AEA167"/>
      <c r="AEB167"/>
      <c r="AEC167"/>
      <c r="AED167"/>
      <c r="AEE167"/>
      <c r="AEF167"/>
      <c r="AEG167"/>
      <c r="AEH167"/>
      <c r="AEI167"/>
      <c r="AEJ167"/>
      <c r="AEK167"/>
      <c r="AEL167"/>
      <c r="AEM167"/>
      <c r="AEN167"/>
      <c r="AEO167"/>
      <c r="AEP167"/>
      <c r="AEQ167"/>
      <c r="AER167"/>
      <c r="AES167"/>
      <c r="AET167"/>
      <c r="AEU167"/>
      <c r="AEV167"/>
      <c r="AEW167"/>
      <c r="AEX167"/>
      <c r="AEY167"/>
      <c r="AEZ167"/>
      <c r="AFA167"/>
      <c r="AFB167"/>
      <c r="AFC167"/>
      <c r="AFD167"/>
      <c r="AFE167"/>
      <c r="AFF167"/>
      <c r="AFG167"/>
      <c r="AFH167"/>
      <c r="AFI167"/>
      <c r="AFJ167"/>
      <c r="AFK167"/>
      <c r="AFL167"/>
      <c r="AFM167"/>
      <c r="AFN167"/>
      <c r="AFO167"/>
      <c r="AFP167"/>
      <c r="AFQ167"/>
      <c r="AFR167"/>
      <c r="AFS167"/>
      <c r="AFT167"/>
      <c r="AFU167"/>
      <c r="AFV167"/>
      <c r="AFW167"/>
      <c r="AFX167"/>
      <c r="AFY167"/>
      <c r="AFZ167"/>
      <c r="AGA167"/>
      <c r="AGB167"/>
      <c r="AGC167"/>
      <c r="AGD167"/>
      <c r="AGE167"/>
      <c r="AGF167"/>
      <c r="AGG167"/>
      <c r="AGH167"/>
      <c r="AGI167"/>
      <c r="AGJ167"/>
      <c r="AGK167"/>
      <c r="AGL167"/>
      <c r="AGM167"/>
      <c r="AGN167"/>
      <c r="AGO167"/>
      <c r="AGP167"/>
      <c r="AGQ167"/>
      <c r="AGR167"/>
      <c r="AGS167"/>
      <c r="AGT167"/>
      <c r="AGU167"/>
      <c r="AGV167"/>
      <c r="AGW167"/>
      <c r="AGX167"/>
      <c r="AGY167"/>
      <c r="AGZ167"/>
      <c r="AHA167"/>
      <c r="AHB167"/>
      <c r="AHC167"/>
      <c r="AHD167"/>
      <c r="AHE167"/>
      <c r="AHF167"/>
      <c r="AHG167"/>
      <c r="AHH167"/>
      <c r="AHI167"/>
      <c r="AHJ167"/>
      <c r="AHK167"/>
      <c r="AHL167"/>
      <c r="AHM167"/>
      <c r="AHN167"/>
      <c r="AHO167"/>
      <c r="AHP167"/>
      <c r="AHQ167"/>
      <c r="AHR167"/>
      <c r="AHS167"/>
      <c r="AHT167"/>
      <c r="AHU167"/>
      <c r="AHV167"/>
      <c r="AHW167"/>
      <c r="AHX167"/>
      <c r="AHY167"/>
      <c r="AHZ167"/>
      <c r="AIA167"/>
      <c r="AIB167"/>
      <c r="AIC167"/>
      <c r="AID167"/>
      <c r="AIE167"/>
      <c r="AIF167"/>
      <c r="AIG167"/>
      <c r="AIH167"/>
      <c r="AII167"/>
      <c r="AIJ167"/>
      <c r="AIK167"/>
      <c r="AIL167"/>
      <c r="AIM167"/>
      <c r="AIN167"/>
      <c r="AIO167"/>
      <c r="AIP167"/>
      <c r="AIQ167"/>
      <c r="AIR167"/>
      <c r="AIS167"/>
      <c r="AIT167"/>
      <c r="AIU167"/>
      <c r="AIV167"/>
      <c r="AIW167"/>
      <c r="AIX167"/>
      <c r="AIY167"/>
      <c r="AIZ167"/>
      <c r="AJA167"/>
      <c r="AJB167"/>
      <c r="AJC167"/>
      <c r="AJD167"/>
      <c r="AJE167"/>
      <c r="AJF167"/>
      <c r="AJG167"/>
      <c r="AJH167"/>
      <c r="AJI167"/>
      <c r="AJJ167"/>
      <c r="AJK167"/>
      <c r="AJL167"/>
      <c r="AJM167"/>
      <c r="AJN167"/>
      <c r="AJO167"/>
      <c r="AJP167"/>
      <c r="AJQ167"/>
      <c r="AJR167"/>
      <c r="AJS167"/>
      <c r="AJT167"/>
      <c r="AJU167"/>
      <c r="AJV167"/>
      <c r="AJW167"/>
      <c r="AJX167"/>
      <c r="AJY167"/>
      <c r="AJZ167"/>
      <c r="AKA167"/>
      <c r="AKB167"/>
      <c r="AKC167"/>
      <c r="AKD167"/>
      <c r="AKE167"/>
      <c r="AKF167"/>
      <c r="AKG167"/>
      <c r="AKH167"/>
      <c r="AKI167"/>
      <c r="AKJ167"/>
      <c r="AKK167"/>
      <c r="AKL167"/>
      <c r="AKM167"/>
      <c r="AKN167"/>
      <c r="AKO167"/>
      <c r="AKP167"/>
      <c r="AKQ167"/>
      <c r="AKR167"/>
      <c r="AKS167"/>
      <c r="AKT167"/>
      <c r="AKU167"/>
      <c r="AKV167"/>
      <c r="AKW167"/>
      <c r="AKX167"/>
      <c r="AKY167"/>
      <c r="AKZ167"/>
      <c r="ALA167"/>
      <c r="ALB167"/>
      <c r="ALC167"/>
      <c r="ALD167"/>
      <c r="ALE167"/>
      <c r="ALF167"/>
      <c r="ALG167"/>
      <c r="ALH167"/>
      <c r="ALI167"/>
      <c r="ALJ167"/>
      <c r="ALK167"/>
      <c r="ALL167"/>
      <c r="ALM167"/>
      <c r="ALN167"/>
      <c r="ALO167"/>
      <c r="ALP167"/>
      <c r="ALQ167"/>
      <c r="ALR167"/>
      <c r="ALS167"/>
      <c r="ALT167"/>
      <c r="ALU167"/>
      <c r="ALV167"/>
      <c r="ALW167"/>
      <c r="ALX167"/>
      <c r="ALY167"/>
      <c r="ALZ167"/>
      <c r="AMA167"/>
      <c r="AMB167"/>
      <c r="AMC167"/>
      <c r="AMD167"/>
      <c r="AME167"/>
      <c r="AMF167"/>
      <c r="AMG167"/>
      <c r="AMH167"/>
      <c r="AMI167"/>
      <c r="AMJ167"/>
      <c r="AMK167"/>
      <c r="AML167"/>
      <c r="AMM167"/>
      <c r="AMN167"/>
      <c r="AMO167"/>
      <c r="AMP167"/>
      <c r="AMQ167"/>
      <c r="AMR167"/>
      <c r="AMS167"/>
      <c r="AMT167"/>
      <c r="AMU167"/>
      <c r="AMV167"/>
      <c r="AMW167"/>
      <c r="AMX167"/>
      <c r="AMY167"/>
      <c r="AMZ167"/>
      <c r="ANA167"/>
      <c r="ANB167"/>
      <c r="ANC167"/>
      <c r="AND167"/>
      <c r="ANE167"/>
      <c r="ANF167"/>
      <c r="ANG167"/>
      <c r="ANH167"/>
      <c r="ANI167"/>
      <c r="ANJ167"/>
      <c r="ANK167"/>
      <c r="ANL167"/>
      <c r="ANM167"/>
      <c r="ANN167"/>
      <c r="ANO167"/>
      <c r="ANP167"/>
      <c r="ANQ167"/>
      <c r="ANR167"/>
      <c r="ANS167"/>
      <c r="ANT167"/>
      <c r="ANU167"/>
      <c r="ANV167"/>
      <c r="ANW167"/>
      <c r="ANX167"/>
      <c r="ANY167"/>
      <c r="ANZ167"/>
      <c r="AOA167"/>
      <c r="AOB167"/>
      <c r="AOC167"/>
      <c r="AOD167"/>
      <c r="AOE167"/>
      <c r="AOF167"/>
      <c r="AOG167"/>
      <c r="AOH167"/>
      <c r="AOI167"/>
      <c r="AOJ167"/>
      <c r="AOK167"/>
      <c r="AOL167"/>
      <c r="AOM167"/>
      <c r="AON167"/>
      <c r="AOO167"/>
      <c r="AOP167"/>
      <c r="AOQ167"/>
      <c r="AOR167"/>
      <c r="AOS167"/>
      <c r="AOT167"/>
      <c r="AOU167"/>
      <c r="AOV167"/>
      <c r="AOW167"/>
      <c r="AOX167"/>
      <c r="AOY167"/>
      <c r="AOZ167"/>
      <c r="APA167"/>
      <c r="APB167"/>
      <c r="APC167"/>
      <c r="APD167"/>
      <c r="APE167"/>
      <c r="APF167"/>
      <c r="APG167"/>
      <c r="APH167"/>
      <c r="API167"/>
      <c r="APJ167"/>
      <c r="APK167"/>
      <c r="APL167"/>
      <c r="APM167"/>
      <c r="APN167"/>
      <c r="APO167"/>
      <c r="APP167"/>
      <c r="APQ167"/>
      <c r="APR167"/>
      <c r="APS167"/>
      <c r="APT167"/>
      <c r="APU167"/>
      <c r="APV167"/>
      <c r="APW167"/>
      <c r="APX167"/>
      <c r="APY167"/>
      <c r="APZ167"/>
      <c r="AQA167"/>
      <c r="AQB167"/>
      <c r="AQC167"/>
      <c r="AQD167"/>
      <c r="AQE167"/>
      <c r="AQF167"/>
      <c r="AQG167"/>
      <c r="AQH167"/>
      <c r="AQI167"/>
      <c r="AQJ167"/>
      <c r="AQK167"/>
      <c r="AQL167"/>
      <c r="AQM167"/>
      <c r="AQN167"/>
      <c r="AQO167"/>
      <c r="AQP167"/>
      <c r="AQQ167"/>
      <c r="AQR167"/>
      <c r="AQS167"/>
      <c r="AQT167"/>
      <c r="AQU167"/>
      <c r="AQV167"/>
      <c r="AQW167"/>
      <c r="AQX167"/>
      <c r="AQY167"/>
      <c r="AQZ167"/>
      <c r="ARA167"/>
      <c r="ARB167"/>
      <c r="ARC167"/>
      <c r="ARD167"/>
      <c r="ARE167"/>
      <c r="ARF167"/>
      <c r="ARG167"/>
      <c r="ARH167"/>
      <c r="ARI167"/>
      <c r="ARJ167"/>
      <c r="ARK167"/>
      <c r="ARL167"/>
      <c r="ARM167"/>
      <c r="ARN167"/>
      <c r="ARO167"/>
      <c r="ARP167"/>
      <c r="ARQ167"/>
      <c r="ARR167"/>
      <c r="ARS167"/>
      <c r="ART167"/>
      <c r="ARU167"/>
      <c r="ARV167"/>
      <c r="ARW167"/>
      <c r="ARX167"/>
      <c r="ARY167"/>
      <c r="ARZ167"/>
      <c r="ASA167"/>
      <c r="ASB167"/>
      <c r="ASC167"/>
      <c r="ASD167"/>
      <c r="ASE167"/>
      <c r="ASF167"/>
      <c r="ASG167"/>
      <c r="ASH167"/>
      <c r="ASI167"/>
      <c r="ASJ167"/>
      <c r="ASK167"/>
      <c r="ASL167"/>
      <c r="ASM167"/>
      <c r="ASN167"/>
      <c r="ASO167"/>
      <c r="ASP167"/>
      <c r="ASQ167"/>
      <c r="ASR167"/>
      <c r="ASS167"/>
      <c r="AST167"/>
      <c r="ASU167"/>
      <c r="ASV167"/>
      <c r="ASW167"/>
      <c r="ASX167"/>
      <c r="ASY167"/>
      <c r="ASZ167"/>
      <c r="ATA167"/>
      <c r="ATB167"/>
      <c r="ATC167"/>
      <c r="ATD167"/>
      <c r="ATE167"/>
      <c r="ATF167"/>
      <c r="ATG167"/>
      <c r="ATH167"/>
      <c r="ATI167"/>
      <c r="ATJ167"/>
      <c r="ATK167"/>
      <c r="ATL167"/>
      <c r="ATM167"/>
      <c r="ATN167"/>
      <c r="ATO167"/>
      <c r="ATP167"/>
      <c r="ATQ167"/>
      <c r="ATR167"/>
      <c r="ATS167"/>
      <c r="ATT167"/>
      <c r="ATU167"/>
      <c r="ATV167"/>
      <c r="ATW167"/>
      <c r="ATX167"/>
      <c r="ATY167"/>
      <c r="ATZ167"/>
      <c r="AUA167"/>
      <c r="AUB167"/>
      <c r="AUC167"/>
      <c r="AUD167"/>
      <c r="AUE167"/>
      <c r="AUF167"/>
      <c r="AUG167"/>
      <c r="AUH167"/>
      <c r="AUI167"/>
      <c r="AUJ167"/>
      <c r="AUK167"/>
      <c r="AUL167"/>
      <c r="AUM167"/>
      <c r="AUN167"/>
      <c r="AUO167"/>
      <c r="AUP167"/>
      <c r="AUQ167"/>
      <c r="AUR167"/>
      <c r="AUS167"/>
      <c r="AUT167"/>
      <c r="AUU167"/>
      <c r="AUV167"/>
      <c r="AUW167"/>
      <c r="AUX167"/>
      <c r="AUY167"/>
      <c r="AUZ167"/>
      <c r="AVA167"/>
      <c r="AVB167"/>
      <c r="AVC167"/>
      <c r="AVD167"/>
      <c r="AVE167"/>
      <c r="AVF167"/>
      <c r="AVG167"/>
      <c r="AVH167"/>
      <c r="AVI167"/>
      <c r="AVJ167"/>
      <c r="AVK167"/>
      <c r="AVL167"/>
      <c r="AVM167"/>
      <c r="AVN167"/>
      <c r="AVO167"/>
      <c r="AVP167"/>
      <c r="AVQ167"/>
      <c r="AVR167"/>
      <c r="AVS167"/>
      <c r="AVT167"/>
      <c r="AVU167"/>
      <c r="AVV167"/>
      <c r="AVW167"/>
      <c r="AVX167"/>
      <c r="AVY167"/>
      <c r="AVZ167"/>
      <c r="AWA167"/>
      <c r="AWB167"/>
      <c r="AWC167"/>
      <c r="AWD167"/>
      <c r="AWE167"/>
      <c r="AWF167"/>
      <c r="AWG167"/>
      <c r="AWH167"/>
      <c r="AWI167"/>
      <c r="AWJ167"/>
      <c r="AWK167"/>
      <c r="AWL167"/>
      <c r="AWM167"/>
      <c r="AWN167"/>
      <c r="AWO167"/>
      <c r="AWP167"/>
      <c r="AWQ167"/>
      <c r="AWR167"/>
      <c r="AWS167"/>
      <c r="AWT167"/>
      <c r="AWU167"/>
      <c r="AWV167"/>
      <c r="AWW167"/>
      <c r="AWX167"/>
      <c r="AWY167"/>
      <c r="AWZ167"/>
      <c r="AXA167"/>
      <c r="AXB167"/>
      <c r="AXC167"/>
      <c r="AXD167"/>
      <c r="AXE167"/>
      <c r="AXF167"/>
      <c r="AXG167"/>
      <c r="AXH167"/>
      <c r="AXI167"/>
      <c r="AXJ167"/>
      <c r="AXK167"/>
      <c r="AXL167"/>
      <c r="AXM167"/>
      <c r="AXN167"/>
      <c r="AXO167"/>
      <c r="AXP167"/>
      <c r="AXQ167"/>
      <c r="AXR167"/>
      <c r="AXS167"/>
      <c r="AXT167"/>
      <c r="AXU167"/>
      <c r="AXV167"/>
      <c r="AXW167"/>
      <c r="AXX167"/>
      <c r="AXY167"/>
      <c r="AXZ167"/>
      <c r="AYA167"/>
      <c r="AYB167"/>
      <c r="AYC167"/>
      <c r="AYD167"/>
      <c r="AYE167"/>
      <c r="AYF167"/>
      <c r="AYG167"/>
      <c r="AYH167"/>
      <c r="AYI167"/>
      <c r="AYJ167"/>
      <c r="AYK167"/>
      <c r="AYL167"/>
      <c r="AYM167"/>
      <c r="AYN167"/>
      <c r="AYO167"/>
      <c r="AYP167"/>
      <c r="AYQ167"/>
      <c r="AYR167"/>
      <c r="AYS167"/>
      <c r="AYT167"/>
      <c r="AYU167"/>
      <c r="AYV167"/>
      <c r="AYW167"/>
      <c r="AYX167"/>
      <c r="AYY167"/>
      <c r="AYZ167"/>
      <c r="AZA167"/>
      <c r="AZB167"/>
      <c r="AZC167"/>
      <c r="AZD167"/>
      <c r="AZE167"/>
      <c r="AZF167"/>
      <c r="AZG167"/>
      <c r="AZH167"/>
      <c r="AZI167"/>
      <c r="AZJ167"/>
      <c r="AZK167"/>
      <c r="AZL167"/>
      <c r="AZM167"/>
      <c r="AZN167"/>
      <c r="AZO167"/>
      <c r="AZP167"/>
      <c r="AZQ167"/>
      <c r="AZR167"/>
      <c r="AZS167"/>
      <c r="AZT167"/>
      <c r="AZU167"/>
      <c r="AZV167"/>
      <c r="AZW167"/>
      <c r="AZX167"/>
      <c r="AZY167"/>
      <c r="AZZ167"/>
      <c r="BAA167"/>
      <c r="BAB167"/>
      <c r="BAC167"/>
      <c r="BAD167"/>
      <c r="BAE167"/>
      <c r="BAF167"/>
      <c r="BAG167"/>
      <c r="BAH167"/>
      <c r="BAI167"/>
      <c r="BAJ167"/>
      <c r="BAK167"/>
      <c r="BAL167"/>
      <c r="BAM167"/>
      <c r="BAN167"/>
      <c r="BAO167"/>
      <c r="BAP167"/>
      <c r="BAQ167"/>
      <c r="BAR167"/>
      <c r="BAS167"/>
      <c r="BAT167"/>
      <c r="BAU167"/>
      <c r="BAV167"/>
      <c r="BAW167"/>
      <c r="BAX167"/>
      <c r="BAY167"/>
      <c r="BAZ167"/>
      <c r="BBA167"/>
      <c r="BBB167"/>
      <c r="BBC167"/>
      <c r="BBD167"/>
      <c r="BBE167"/>
      <c r="BBF167"/>
      <c r="BBG167"/>
      <c r="BBH167"/>
      <c r="BBI167"/>
      <c r="BBJ167"/>
      <c r="BBK167"/>
      <c r="BBL167"/>
      <c r="BBM167"/>
      <c r="BBN167"/>
      <c r="BBO167"/>
      <c r="BBP167"/>
      <c r="BBQ167"/>
      <c r="BBR167"/>
      <c r="BBS167"/>
      <c r="BBT167"/>
      <c r="BBU167"/>
      <c r="BBV167"/>
      <c r="BBW167"/>
      <c r="BBX167"/>
      <c r="BBY167"/>
      <c r="BBZ167"/>
      <c r="BCA167"/>
      <c r="BCB167"/>
      <c r="BCC167"/>
      <c r="BCD167"/>
      <c r="BCE167"/>
      <c r="BCF167"/>
      <c r="BCG167"/>
      <c r="BCH167"/>
      <c r="BCI167"/>
      <c r="BCJ167"/>
      <c r="BCK167"/>
      <c r="BCL167"/>
      <c r="BCM167"/>
      <c r="BCN167"/>
      <c r="BCO167"/>
      <c r="BCP167"/>
      <c r="BCQ167"/>
      <c r="BCR167"/>
      <c r="BCS167"/>
      <c r="BCT167"/>
      <c r="BCU167"/>
      <c r="BCV167"/>
      <c r="BCW167"/>
      <c r="BCX167"/>
      <c r="BCY167"/>
      <c r="BCZ167"/>
      <c r="BDA167"/>
      <c r="BDB167"/>
      <c r="BDC167"/>
      <c r="BDD167"/>
      <c r="BDE167"/>
      <c r="BDF167"/>
      <c r="BDG167"/>
      <c r="BDH167"/>
      <c r="BDI167"/>
      <c r="BDJ167"/>
      <c r="BDK167"/>
      <c r="BDL167"/>
      <c r="BDM167"/>
      <c r="BDN167"/>
      <c r="BDO167"/>
      <c r="BDP167"/>
      <c r="BDQ167"/>
      <c r="BDR167"/>
      <c r="BDS167"/>
      <c r="BDT167"/>
      <c r="BDU167"/>
      <c r="BDV167"/>
      <c r="BDW167"/>
      <c r="BDX167"/>
      <c r="BDY167"/>
      <c r="BDZ167"/>
      <c r="BEA167"/>
      <c r="BEB167"/>
      <c r="BEC167"/>
      <c r="BED167"/>
      <c r="BEE167"/>
      <c r="BEF167"/>
      <c r="BEG167"/>
      <c r="BEH167"/>
      <c r="BEI167"/>
      <c r="BEJ167"/>
      <c r="BEK167"/>
      <c r="BEL167"/>
      <c r="BEM167"/>
      <c r="BEN167"/>
      <c r="BEO167"/>
      <c r="BEP167"/>
      <c r="BEQ167"/>
      <c r="BER167"/>
      <c r="BES167"/>
      <c r="BET167"/>
      <c r="BEU167"/>
      <c r="BEV167"/>
      <c r="BEW167"/>
      <c r="BEX167"/>
      <c r="BEY167"/>
      <c r="BEZ167"/>
      <c r="BFA167"/>
      <c r="BFB167"/>
      <c r="BFC167"/>
      <c r="BFD167"/>
      <c r="BFE167"/>
      <c r="BFF167"/>
      <c r="BFG167"/>
      <c r="BFH167"/>
      <c r="BFI167"/>
      <c r="BFJ167"/>
      <c r="BFK167"/>
      <c r="BFL167"/>
      <c r="BFM167"/>
      <c r="BFN167"/>
      <c r="BFO167"/>
      <c r="BFP167"/>
      <c r="BFQ167"/>
      <c r="BFR167"/>
      <c r="BFS167"/>
      <c r="BFT167"/>
      <c r="BFU167"/>
      <c r="BFV167"/>
      <c r="BFW167"/>
      <c r="BFX167"/>
      <c r="BFY167"/>
      <c r="BFZ167"/>
      <c r="BGA167"/>
      <c r="BGB167"/>
      <c r="BGC167"/>
      <c r="BGD167"/>
      <c r="BGE167"/>
      <c r="BGF167"/>
      <c r="BGG167"/>
      <c r="BGH167"/>
      <c r="BGI167"/>
      <c r="BGJ167"/>
      <c r="BGK167"/>
      <c r="BGL167"/>
      <c r="BGM167"/>
      <c r="BGN167"/>
      <c r="BGO167"/>
      <c r="BGP167"/>
      <c r="BGQ167"/>
      <c r="BGR167"/>
      <c r="BGS167"/>
      <c r="BGT167"/>
      <c r="BGU167"/>
      <c r="BGV167"/>
      <c r="BGW167"/>
      <c r="BGX167"/>
      <c r="BGY167"/>
      <c r="BGZ167"/>
      <c r="BHA167"/>
      <c r="BHB167"/>
      <c r="BHC167"/>
      <c r="BHD167"/>
      <c r="BHE167"/>
      <c r="BHF167"/>
      <c r="BHG167"/>
      <c r="BHH167"/>
      <c r="BHI167"/>
      <c r="BHJ167"/>
      <c r="BHK167"/>
      <c r="BHL167"/>
      <c r="BHM167"/>
      <c r="BHN167"/>
      <c r="BHO167"/>
      <c r="BHP167"/>
      <c r="BHQ167"/>
      <c r="BHR167"/>
      <c r="BHS167"/>
      <c r="BHT167"/>
      <c r="BHU167"/>
      <c r="BHV167"/>
      <c r="BHW167"/>
      <c r="BHX167"/>
      <c r="BHY167"/>
      <c r="BHZ167"/>
      <c r="BIA167"/>
      <c r="BIB167"/>
      <c r="BIC167"/>
      <c r="BID167"/>
      <c r="BIE167"/>
      <c r="BIF167"/>
      <c r="BIG167"/>
      <c r="BIH167"/>
      <c r="BII167"/>
      <c r="BIJ167"/>
      <c r="BIK167"/>
      <c r="BIL167"/>
      <c r="BIM167"/>
      <c r="BIN167"/>
      <c r="BIO167"/>
      <c r="BIP167"/>
      <c r="BIQ167"/>
      <c r="BIR167"/>
      <c r="BIS167"/>
      <c r="BIT167"/>
      <c r="BIU167"/>
      <c r="BIV167"/>
      <c r="BIW167"/>
      <c r="BIX167"/>
      <c r="BIY167"/>
      <c r="BIZ167"/>
      <c r="BJA167"/>
      <c r="BJB167"/>
      <c r="BJC167"/>
      <c r="BJD167"/>
      <c r="BJE167"/>
      <c r="BJF167"/>
      <c r="BJG167"/>
      <c r="BJH167"/>
      <c r="BJI167"/>
      <c r="BJJ167"/>
      <c r="BJK167"/>
      <c r="BJL167"/>
      <c r="BJM167"/>
      <c r="BJN167"/>
      <c r="BJO167"/>
      <c r="BJP167"/>
      <c r="BJQ167"/>
      <c r="BJR167"/>
      <c r="BJS167"/>
      <c r="BJT167"/>
      <c r="BJU167"/>
      <c r="BJV167"/>
      <c r="BJW167"/>
      <c r="BJX167"/>
      <c r="BJY167"/>
      <c r="BJZ167"/>
      <c r="BKA167"/>
      <c r="BKB167"/>
      <c r="BKC167"/>
      <c r="BKD167"/>
      <c r="BKE167"/>
      <c r="BKF167"/>
      <c r="BKG167"/>
      <c r="BKH167"/>
      <c r="BKI167"/>
      <c r="BKJ167"/>
      <c r="BKK167"/>
      <c r="BKL167"/>
      <c r="BKM167"/>
      <c r="BKN167"/>
      <c r="BKO167"/>
      <c r="BKP167"/>
      <c r="BKQ167"/>
      <c r="BKR167"/>
      <c r="BKS167"/>
      <c r="BKT167"/>
      <c r="BKU167"/>
      <c r="BKV167"/>
      <c r="BKW167"/>
      <c r="BKX167"/>
      <c r="BKY167"/>
      <c r="BKZ167"/>
      <c r="BLA167"/>
      <c r="BLB167"/>
      <c r="BLC167"/>
      <c r="BLD167"/>
      <c r="BLE167"/>
      <c r="BLF167"/>
      <c r="BLG167"/>
      <c r="BLH167"/>
      <c r="BLI167"/>
      <c r="BLJ167"/>
      <c r="BLK167"/>
      <c r="BLL167"/>
      <c r="BLM167"/>
      <c r="BLN167"/>
      <c r="BLO167"/>
      <c r="BLP167"/>
      <c r="BLQ167"/>
      <c r="BLR167"/>
      <c r="BLS167"/>
      <c r="BLT167"/>
      <c r="BLU167"/>
      <c r="BLV167"/>
      <c r="BLW167"/>
      <c r="BLX167"/>
      <c r="BLY167"/>
      <c r="BLZ167"/>
      <c r="BMA167"/>
      <c r="BMB167"/>
      <c r="BMC167"/>
      <c r="BMD167"/>
      <c r="BME167"/>
      <c r="BMF167"/>
      <c r="BMG167"/>
      <c r="BMH167"/>
      <c r="BMI167"/>
      <c r="BMJ167"/>
      <c r="BMK167"/>
      <c r="BML167"/>
      <c r="BMM167"/>
      <c r="BMN167"/>
      <c r="BMO167"/>
      <c r="BMP167"/>
      <c r="BMQ167"/>
      <c r="BMR167"/>
      <c r="BMS167"/>
      <c r="BMT167"/>
      <c r="BMU167"/>
      <c r="BMV167"/>
      <c r="BMW167"/>
      <c r="BMX167"/>
      <c r="BMY167"/>
      <c r="BMZ167"/>
      <c r="BNA167"/>
      <c r="BNB167"/>
      <c r="BNC167"/>
      <c r="BND167"/>
      <c r="BNE167"/>
      <c r="BNF167"/>
      <c r="BNG167"/>
      <c r="BNH167"/>
      <c r="BNI167"/>
      <c r="BNJ167"/>
      <c r="BNK167"/>
      <c r="BNL167"/>
      <c r="BNM167"/>
      <c r="BNN167"/>
      <c r="BNO167"/>
      <c r="BNP167"/>
      <c r="BNQ167"/>
      <c r="BNR167"/>
      <c r="BNS167"/>
      <c r="BNT167"/>
      <c r="BNU167"/>
      <c r="BNV167"/>
      <c r="BNW167"/>
      <c r="BNX167"/>
      <c r="BNY167"/>
      <c r="BNZ167"/>
      <c r="BOA167"/>
      <c r="BOB167"/>
      <c r="BOC167"/>
      <c r="BOD167"/>
      <c r="BOE167"/>
      <c r="BOF167"/>
      <c r="BOG167"/>
      <c r="BOH167"/>
      <c r="BOI167"/>
      <c r="BOJ167"/>
      <c r="BOK167"/>
      <c r="BOL167"/>
      <c r="BOM167"/>
      <c r="BON167"/>
      <c r="BOO167"/>
      <c r="BOP167"/>
      <c r="BOQ167"/>
      <c r="BOR167"/>
      <c r="BOS167"/>
      <c r="BOT167"/>
      <c r="BOU167"/>
      <c r="BOV167"/>
      <c r="BOW167"/>
      <c r="BOX167"/>
      <c r="BOY167"/>
      <c r="BOZ167"/>
      <c r="BPA167"/>
      <c r="BPB167"/>
      <c r="BPC167"/>
      <c r="BPD167"/>
      <c r="BPE167"/>
      <c r="BPF167"/>
      <c r="BPG167"/>
      <c r="BPH167"/>
      <c r="BPI167"/>
      <c r="BPJ167"/>
      <c r="BPK167"/>
      <c r="BPL167"/>
      <c r="BPM167"/>
      <c r="BPN167"/>
      <c r="BPO167"/>
      <c r="BPP167"/>
      <c r="BPQ167"/>
      <c r="BPR167"/>
      <c r="BPS167"/>
      <c r="BPT167"/>
      <c r="BPU167"/>
      <c r="BPV167"/>
      <c r="BPW167"/>
      <c r="BPX167"/>
      <c r="BPY167"/>
      <c r="BPZ167"/>
      <c r="BQA167"/>
      <c r="BQB167"/>
      <c r="BQC167"/>
      <c r="BQD167"/>
      <c r="BQE167"/>
      <c r="BQF167"/>
      <c r="BQG167"/>
      <c r="BQH167"/>
      <c r="BQI167"/>
      <c r="BQJ167"/>
      <c r="BQK167"/>
      <c r="BQL167"/>
      <c r="BQM167"/>
      <c r="BQN167"/>
      <c r="BQO167"/>
      <c r="BQP167"/>
      <c r="BQQ167"/>
      <c r="BQR167"/>
      <c r="BQS167"/>
      <c r="BQT167"/>
      <c r="BQU167"/>
      <c r="BQV167"/>
      <c r="BQW167"/>
      <c r="BQX167"/>
      <c r="BQY167"/>
      <c r="BQZ167"/>
      <c r="BRA167"/>
      <c r="BRB167"/>
      <c r="BRC167"/>
      <c r="BRD167"/>
      <c r="BRE167"/>
      <c r="BRF167"/>
      <c r="BRG167"/>
      <c r="BRH167"/>
      <c r="BRI167"/>
      <c r="BRJ167"/>
      <c r="BRK167"/>
      <c r="BRL167"/>
      <c r="BRM167"/>
      <c r="BRN167"/>
      <c r="BRO167"/>
      <c r="BRP167"/>
      <c r="BRQ167"/>
      <c r="BRR167"/>
      <c r="BRS167"/>
      <c r="BRT167"/>
      <c r="BRU167"/>
      <c r="BRV167"/>
      <c r="BRW167"/>
      <c r="BRX167"/>
      <c r="BRY167"/>
      <c r="BRZ167"/>
      <c r="BSA167"/>
      <c r="BSB167"/>
      <c r="BSC167"/>
      <c r="BSD167"/>
      <c r="BSE167"/>
      <c r="BSF167"/>
      <c r="BSG167"/>
      <c r="BSH167"/>
      <c r="BSI167"/>
      <c r="BSJ167"/>
      <c r="BSK167"/>
      <c r="BSL167"/>
      <c r="BSM167"/>
      <c r="BSN167"/>
      <c r="BSO167"/>
      <c r="BSP167"/>
      <c r="BSQ167"/>
      <c r="BSR167"/>
      <c r="BSS167"/>
      <c r="BST167"/>
      <c r="BSU167"/>
      <c r="BSV167"/>
      <c r="BSW167"/>
      <c r="BSX167"/>
      <c r="BSY167"/>
      <c r="BSZ167"/>
      <c r="BTA167"/>
      <c r="BTB167"/>
      <c r="BTC167"/>
      <c r="BTD167"/>
      <c r="BTE167"/>
      <c r="BTF167"/>
      <c r="BTG167"/>
      <c r="BTH167"/>
      <c r="BTI167"/>
      <c r="BTJ167"/>
      <c r="BTK167"/>
      <c r="BTL167"/>
      <c r="BTM167"/>
      <c r="BTN167"/>
      <c r="BTO167"/>
      <c r="BTP167"/>
      <c r="BTQ167"/>
      <c r="BTR167"/>
      <c r="BTS167"/>
      <c r="BTT167"/>
      <c r="BTU167"/>
      <c r="BTV167"/>
      <c r="BTW167"/>
      <c r="BTX167"/>
      <c r="BTY167"/>
      <c r="BTZ167"/>
      <c r="BUA167"/>
      <c r="BUB167"/>
      <c r="BUC167"/>
      <c r="BUD167"/>
      <c r="BUE167"/>
      <c r="BUF167"/>
      <c r="BUG167"/>
      <c r="BUH167"/>
      <c r="BUI167"/>
      <c r="BUJ167"/>
      <c r="BUK167"/>
      <c r="BUL167"/>
      <c r="BUM167"/>
      <c r="BUN167"/>
      <c r="BUO167"/>
      <c r="BUP167"/>
      <c r="BUQ167"/>
      <c r="BUR167"/>
      <c r="BUS167"/>
      <c r="BUT167"/>
      <c r="BUU167"/>
      <c r="BUV167"/>
      <c r="BUW167"/>
      <c r="BUX167"/>
      <c r="BUY167"/>
      <c r="BUZ167"/>
      <c r="BVA167"/>
      <c r="BVB167"/>
      <c r="BVC167"/>
      <c r="BVD167"/>
      <c r="BVE167"/>
      <c r="BVF167"/>
      <c r="BVG167"/>
      <c r="BVH167"/>
      <c r="BVI167"/>
      <c r="BVJ167"/>
      <c r="BVK167"/>
      <c r="BVL167"/>
      <c r="BVM167"/>
      <c r="BVN167"/>
      <c r="BVO167"/>
      <c r="BVP167"/>
      <c r="BVQ167"/>
      <c r="BVR167"/>
      <c r="BVS167"/>
      <c r="BVT167"/>
      <c r="BVU167"/>
      <c r="BVV167"/>
      <c r="BVW167"/>
      <c r="BVX167"/>
      <c r="BVY167"/>
      <c r="BVZ167"/>
      <c r="BWA167"/>
      <c r="BWB167"/>
      <c r="BWC167"/>
      <c r="BWD167"/>
      <c r="BWE167"/>
      <c r="BWF167"/>
      <c r="BWG167"/>
      <c r="BWH167"/>
      <c r="BWI167"/>
      <c r="BWJ167"/>
      <c r="BWK167"/>
      <c r="BWL167"/>
      <c r="BWM167"/>
      <c r="BWN167"/>
      <c r="BWO167"/>
      <c r="BWP167"/>
      <c r="BWQ167"/>
      <c r="BWR167"/>
      <c r="BWS167"/>
      <c r="BWT167"/>
      <c r="BWU167"/>
      <c r="BWV167"/>
      <c r="BWW167"/>
      <c r="BWX167"/>
      <c r="BWY167"/>
      <c r="BWZ167"/>
      <c r="BXA167"/>
      <c r="BXB167"/>
      <c r="BXC167"/>
      <c r="BXD167"/>
      <c r="BXE167"/>
      <c r="BXF167"/>
      <c r="BXG167"/>
      <c r="BXH167"/>
      <c r="BXI167"/>
      <c r="BXJ167"/>
      <c r="BXK167"/>
      <c r="BXL167"/>
      <c r="BXM167"/>
      <c r="BXN167"/>
      <c r="BXO167"/>
      <c r="BXP167"/>
      <c r="BXQ167"/>
      <c r="BXR167"/>
      <c r="BXS167"/>
      <c r="BXT167"/>
      <c r="BXU167"/>
      <c r="BXV167"/>
      <c r="BXW167"/>
      <c r="BXX167"/>
      <c r="BXY167"/>
      <c r="BXZ167"/>
      <c r="BYA167"/>
      <c r="BYB167"/>
      <c r="BYC167"/>
      <c r="BYD167"/>
      <c r="BYE167"/>
      <c r="BYF167"/>
      <c r="BYG167"/>
      <c r="BYH167"/>
      <c r="BYI167"/>
      <c r="BYJ167"/>
      <c r="BYK167"/>
      <c r="BYL167"/>
      <c r="BYM167"/>
      <c r="BYN167"/>
      <c r="BYO167"/>
      <c r="BYP167"/>
      <c r="BYQ167"/>
      <c r="BYR167"/>
      <c r="BYS167"/>
      <c r="BYT167"/>
      <c r="BYU167"/>
      <c r="BYV167"/>
      <c r="BYW167"/>
      <c r="BYX167"/>
      <c r="BYY167"/>
      <c r="BYZ167"/>
      <c r="BZA167"/>
      <c r="BZB167"/>
      <c r="BZC167"/>
      <c r="BZD167"/>
      <c r="BZE167"/>
      <c r="BZF167"/>
      <c r="BZG167"/>
      <c r="BZH167"/>
      <c r="BZI167"/>
      <c r="BZJ167"/>
      <c r="BZK167"/>
      <c r="BZL167"/>
      <c r="BZM167"/>
      <c r="BZN167"/>
      <c r="BZO167"/>
      <c r="BZP167"/>
      <c r="BZQ167"/>
      <c r="BZR167"/>
      <c r="BZS167"/>
      <c r="BZT167"/>
      <c r="BZU167"/>
      <c r="BZV167"/>
      <c r="BZW167"/>
      <c r="BZX167"/>
      <c r="BZY167"/>
      <c r="BZZ167"/>
      <c r="CAA167"/>
      <c r="CAB167"/>
      <c r="CAC167"/>
      <c r="CAD167"/>
      <c r="CAE167"/>
      <c r="CAF167"/>
      <c r="CAG167"/>
      <c r="CAH167"/>
      <c r="CAI167"/>
      <c r="CAJ167"/>
      <c r="CAK167"/>
      <c r="CAL167"/>
      <c r="CAM167"/>
      <c r="CAN167"/>
      <c r="CAO167"/>
      <c r="CAP167"/>
      <c r="CAQ167"/>
      <c r="CAR167"/>
      <c r="CAS167"/>
      <c r="CAT167"/>
      <c r="CAU167"/>
      <c r="CAV167"/>
      <c r="CAW167"/>
      <c r="CAX167"/>
      <c r="CAY167"/>
      <c r="CAZ167"/>
      <c r="CBA167"/>
      <c r="CBB167"/>
      <c r="CBC167"/>
      <c r="CBD167"/>
      <c r="CBE167"/>
      <c r="CBF167"/>
      <c r="CBG167"/>
      <c r="CBH167"/>
      <c r="CBI167"/>
      <c r="CBJ167"/>
      <c r="CBK167"/>
      <c r="CBL167"/>
      <c r="CBM167"/>
      <c r="CBN167"/>
      <c r="CBO167"/>
      <c r="CBP167"/>
      <c r="CBQ167"/>
      <c r="CBR167"/>
      <c r="CBS167"/>
      <c r="CBT167"/>
      <c r="CBU167"/>
      <c r="CBV167"/>
      <c r="CBW167"/>
      <c r="CBX167"/>
      <c r="CBY167"/>
      <c r="CBZ167"/>
      <c r="CCA167"/>
      <c r="CCB167"/>
      <c r="CCC167"/>
      <c r="CCD167"/>
      <c r="CCE167"/>
      <c r="CCF167"/>
      <c r="CCG167"/>
      <c r="CCH167"/>
      <c r="CCI167"/>
      <c r="CCJ167"/>
      <c r="CCK167"/>
      <c r="CCL167"/>
      <c r="CCM167"/>
      <c r="CCN167"/>
      <c r="CCO167"/>
      <c r="CCP167"/>
      <c r="CCQ167"/>
      <c r="CCR167"/>
      <c r="CCS167"/>
      <c r="CCT167"/>
      <c r="CCU167"/>
      <c r="CCV167"/>
      <c r="CCW167"/>
      <c r="CCX167"/>
      <c r="CCY167"/>
      <c r="CCZ167"/>
      <c r="CDA167"/>
      <c r="CDB167"/>
      <c r="CDC167"/>
      <c r="CDD167"/>
      <c r="CDE167"/>
      <c r="CDF167"/>
      <c r="CDG167"/>
      <c r="CDH167"/>
      <c r="CDI167"/>
      <c r="CDJ167"/>
      <c r="CDK167"/>
      <c r="CDL167"/>
      <c r="CDM167"/>
      <c r="CDN167"/>
      <c r="CDO167"/>
      <c r="CDP167"/>
      <c r="CDQ167"/>
      <c r="CDR167"/>
      <c r="CDS167"/>
      <c r="CDT167"/>
      <c r="CDU167"/>
      <c r="CDV167"/>
      <c r="CDW167"/>
      <c r="CDX167"/>
      <c r="CDY167"/>
      <c r="CDZ167"/>
      <c r="CEA167"/>
      <c r="CEB167"/>
      <c r="CEC167"/>
      <c r="CED167"/>
      <c r="CEE167"/>
      <c r="CEF167"/>
      <c r="CEG167"/>
      <c r="CEH167"/>
      <c r="CEI167"/>
      <c r="CEJ167"/>
      <c r="CEK167"/>
      <c r="CEL167"/>
      <c r="CEM167"/>
      <c r="CEN167"/>
      <c r="CEO167"/>
      <c r="CEP167"/>
      <c r="CEQ167"/>
      <c r="CER167"/>
      <c r="CES167"/>
      <c r="CET167"/>
      <c r="CEU167"/>
      <c r="CEV167"/>
      <c r="CEW167"/>
      <c r="CEX167"/>
      <c r="CEY167"/>
      <c r="CEZ167"/>
      <c r="CFA167"/>
      <c r="CFB167"/>
      <c r="CFC167"/>
      <c r="CFD167"/>
      <c r="CFE167"/>
      <c r="CFF167"/>
      <c r="CFG167"/>
      <c r="CFH167"/>
      <c r="CFI167"/>
      <c r="CFJ167"/>
      <c r="CFK167"/>
      <c r="CFL167"/>
      <c r="CFM167"/>
      <c r="CFN167"/>
      <c r="CFO167"/>
      <c r="CFP167"/>
      <c r="CFQ167"/>
      <c r="CFR167"/>
      <c r="CFS167"/>
      <c r="CFT167"/>
      <c r="CFU167"/>
      <c r="CFV167"/>
      <c r="CFW167"/>
      <c r="CFX167"/>
      <c r="CFY167"/>
      <c r="CFZ167"/>
      <c r="CGA167"/>
      <c r="CGB167"/>
      <c r="CGC167"/>
      <c r="CGD167"/>
      <c r="CGE167"/>
      <c r="CGF167"/>
      <c r="CGG167"/>
      <c r="CGH167"/>
      <c r="CGI167"/>
      <c r="CGJ167"/>
      <c r="CGK167"/>
      <c r="CGL167"/>
      <c r="CGM167"/>
      <c r="CGN167"/>
      <c r="CGO167"/>
      <c r="CGP167"/>
      <c r="CGQ167"/>
      <c r="CGR167"/>
      <c r="CGS167"/>
      <c r="CGT167"/>
      <c r="CGU167"/>
      <c r="CGV167"/>
      <c r="CGW167"/>
      <c r="CGX167"/>
      <c r="CGY167"/>
      <c r="CGZ167"/>
      <c r="CHA167"/>
      <c r="CHB167"/>
      <c r="CHC167"/>
      <c r="CHD167"/>
      <c r="CHE167"/>
      <c r="CHF167"/>
      <c r="CHG167"/>
      <c r="CHH167"/>
      <c r="CHI167"/>
      <c r="CHJ167"/>
      <c r="CHK167"/>
      <c r="CHL167"/>
      <c r="CHM167"/>
      <c r="CHN167"/>
      <c r="CHO167"/>
      <c r="CHP167"/>
      <c r="CHQ167"/>
      <c r="CHR167"/>
      <c r="CHS167"/>
      <c r="CHT167"/>
      <c r="CHU167"/>
      <c r="CHV167"/>
      <c r="CHW167"/>
      <c r="CHX167"/>
      <c r="CHY167"/>
      <c r="CHZ167"/>
      <c r="CIA167"/>
      <c r="CIB167"/>
      <c r="CIC167"/>
      <c r="CID167"/>
      <c r="CIE167"/>
      <c r="CIF167"/>
      <c r="CIG167"/>
      <c r="CIH167"/>
      <c r="CII167"/>
      <c r="CIJ167"/>
      <c r="CIK167"/>
      <c r="CIL167"/>
      <c r="CIM167"/>
      <c r="CIN167"/>
      <c r="CIO167"/>
      <c r="CIP167"/>
      <c r="CIQ167"/>
      <c r="CIR167"/>
      <c r="CIS167"/>
      <c r="CIT167"/>
      <c r="CIU167"/>
      <c r="CIV167"/>
      <c r="CIW167"/>
      <c r="CIX167"/>
      <c r="CIY167"/>
      <c r="CIZ167"/>
      <c r="CJA167"/>
      <c r="CJB167"/>
      <c r="CJC167"/>
      <c r="CJD167"/>
      <c r="CJE167"/>
      <c r="CJF167"/>
      <c r="CJG167"/>
      <c r="CJH167"/>
      <c r="CJI167"/>
      <c r="CJJ167"/>
      <c r="CJK167"/>
      <c r="CJL167"/>
      <c r="CJM167"/>
      <c r="CJN167"/>
      <c r="CJO167"/>
      <c r="CJP167"/>
      <c r="CJQ167"/>
      <c r="CJR167"/>
      <c r="CJS167"/>
      <c r="CJT167"/>
      <c r="CJU167"/>
      <c r="CJV167"/>
      <c r="CJW167"/>
      <c r="CJX167"/>
      <c r="CJY167"/>
      <c r="CJZ167"/>
      <c r="CKA167"/>
      <c r="CKB167"/>
      <c r="CKC167"/>
      <c r="CKD167"/>
      <c r="CKE167"/>
      <c r="CKF167"/>
      <c r="CKG167"/>
      <c r="CKH167"/>
      <c r="CKI167"/>
      <c r="CKJ167"/>
      <c r="CKK167"/>
      <c r="CKL167"/>
      <c r="CKM167"/>
      <c r="CKN167"/>
      <c r="CKO167"/>
      <c r="CKP167"/>
      <c r="CKQ167"/>
      <c r="CKR167"/>
      <c r="CKS167"/>
      <c r="CKT167"/>
      <c r="CKU167"/>
      <c r="CKV167"/>
      <c r="CKW167"/>
      <c r="CKX167"/>
      <c r="CKY167"/>
      <c r="CKZ167"/>
      <c r="CLA167"/>
      <c r="CLB167"/>
      <c r="CLC167"/>
      <c r="CLD167"/>
      <c r="CLE167"/>
      <c r="CLF167"/>
      <c r="CLG167"/>
      <c r="CLH167"/>
      <c r="CLI167"/>
      <c r="CLJ167"/>
      <c r="CLK167"/>
      <c r="CLL167"/>
      <c r="CLM167"/>
      <c r="CLN167"/>
      <c r="CLO167"/>
      <c r="CLP167"/>
      <c r="CLQ167"/>
      <c r="CLR167"/>
      <c r="CLS167"/>
      <c r="CLT167"/>
      <c r="CLU167"/>
      <c r="CLV167"/>
      <c r="CLW167"/>
      <c r="CLX167"/>
      <c r="CLY167"/>
      <c r="CLZ167"/>
      <c r="CMA167"/>
      <c r="CMB167"/>
      <c r="CMC167"/>
      <c r="CMD167"/>
      <c r="CME167"/>
      <c r="CMF167"/>
      <c r="CMG167"/>
      <c r="CMH167"/>
      <c r="CMI167"/>
      <c r="CMJ167"/>
      <c r="CMK167"/>
      <c r="CML167"/>
      <c r="CMM167"/>
      <c r="CMN167"/>
      <c r="CMO167"/>
      <c r="CMP167"/>
      <c r="CMQ167"/>
      <c r="CMR167"/>
      <c r="CMS167"/>
      <c r="CMT167"/>
      <c r="CMU167"/>
      <c r="CMV167"/>
      <c r="CMW167"/>
      <c r="CMX167"/>
      <c r="CMY167"/>
      <c r="CMZ167"/>
      <c r="CNA167"/>
      <c r="CNB167"/>
      <c r="CNC167"/>
      <c r="CND167"/>
      <c r="CNE167"/>
      <c r="CNF167"/>
      <c r="CNG167"/>
      <c r="CNH167"/>
      <c r="CNI167"/>
      <c r="CNJ167"/>
      <c r="CNK167"/>
      <c r="CNL167"/>
      <c r="CNM167"/>
      <c r="CNN167"/>
      <c r="CNO167"/>
      <c r="CNP167"/>
      <c r="CNQ167"/>
      <c r="CNR167"/>
      <c r="CNS167"/>
      <c r="CNT167"/>
      <c r="CNU167"/>
      <c r="CNV167"/>
      <c r="CNW167"/>
      <c r="CNX167"/>
      <c r="CNY167"/>
      <c r="CNZ167"/>
      <c r="COA167"/>
      <c r="COB167"/>
      <c r="COC167"/>
      <c r="COD167"/>
      <c r="COE167"/>
      <c r="COF167"/>
      <c r="COG167"/>
      <c r="COH167"/>
      <c r="COI167"/>
      <c r="COJ167"/>
      <c r="COK167"/>
      <c r="COL167"/>
      <c r="COM167"/>
      <c r="CON167"/>
      <c r="COO167"/>
      <c r="COP167"/>
      <c r="COQ167"/>
      <c r="COR167"/>
      <c r="COS167"/>
      <c r="COT167"/>
      <c r="COU167"/>
      <c r="COV167"/>
      <c r="COW167"/>
      <c r="COX167"/>
      <c r="COY167"/>
      <c r="COZ167"/>
      <c r="CPA167"/>
      <c r="CPB167"/>
      <c r="CPC167"/>
      <c r="CPD167"/>
      <c r="CPE167"/>
      <c r="CPF167"/>
      <c r="CPG167"/>
      <c r="CPH167"/>
      <c r="CPI167"/>
      <c r="CPJ167"/>
      <c r="CPK167"/>
      <c r="CPL167"/>
      <c r="CPM167"/>
      <c r="CPN167"/>
      <c r="CPO167"/>
      <c r="CPP167"/>
      <c r="CPQ167"/>
      <c r="CPR167"/>
      <c r="CPS167"/>
      <c r="CPT167"/>
      <c r="CPU167"/>
      <c r="CPV167"/>
      <c r="CPW167"/>
      <c r="CPX167"/>
      <c r="CPY167"/>
      <c r="CPZ167"/>
      <c r="CQA167"/>
      <c r="CQB167"/>
      <c r="CQC167"/>
      <c r="CQD167"/>
      <c r="CQE167"/>
      <c r="CQF167"/>
      <c r="CQG167"/>
      <c r="CQH167"/>
      <c r="CQI167"/>
      <c r="CQJ167"/>
      <c r="CQK167"/>
      <c r="CQL167"/>
      <c r="CQM167"/>
      <c r="CQN167"/>
      <c r="CQO167"/>
      <c r="CQP167"/>
      <c r="CQQ167"/>
      <c r="CQR167"/>
      <c r="CQS167"/>
      <c r="CQT167"/>
      <c r="CQU167"/>
      <c r="CQV167"/>
      <c r="CQW167"/>
      <c r="CQX167"/>
      <c r="CQY167"/>
      <c r="CQZ167"/>
      <c r="CRA167"/>
      <c r="CRB167"/>
      <c r="CRC167"/>
      <c r="CRD167"/>
      <c r="CRE167"/>
      <c r="CRF167"/>
      <c r="CRG167"/>
      <c r="CRH167"/>
      <c r="CRI167"/>
      <c r="CRJ167"/>
      <c r="CRK167"/>
      <c r="CRL167"/>
      <c r="CRM167"/>
      <c r="CRN167"/>
      <c r="CRO167"/>
      <c r="CRP167"/>
      <c r="CRQ167"/>
      <c r="CRR167"/>
      <c r="CRS167"/>
      <c r="CRT167"/>
      <c r="CRU167"/>
      <c r="CRV167"/>
      <c r="CRW167"/>
      <c r="CRX167"/>
      <c r="CRY167"/>
      <c r="CRZ167"/>
      <c r="CSA167"/>
      <c r="CSB167"/>
      <c r="CSC167"/>
      <c r="CSD167"/>
      <c r="CSE167"/>
      <c r="CSF167"/>
      <c r="CSG167"/>
      <c r="CSH167"/>
      <c r="CSI167"/>
      <c r="CSJ167"/>
      <c r="CSK167"/>
      <c r="CSL167"/>
      <c r="CSM167"/>
      <c r="CSN167"/>
      <c r="CSO167"/>
      <c r="CSP167"/>
      <c r="CSQ167"/>
      <c r="CSR167"/>
      <c r="CSS167"/>
      <c r="CST167"/>
      <c r="CSU167"/>
      <c r="CSV167"/>
      <c r="CSW167"/>
      <c r="CSX167"/>
      <c r="CSY167"/>
      <c r="CSZ167"/>
      <c r="CTA167"/>
      <c r="CTB167"/>
      <c r="CTC167"/>
      <c r="CTD167"/>
      <c r="CTE167"/>
      <c r="CTF167"/>
      <c r="CTG167"/>
      <c r="CTH167"/>
      <c r="CTI167"/>
      <c r="CTJ167"/>
      <c r="CTK167"/>
      <c r="CTL167"/>
      <c r="CTM167"/>
      <c r="CTN167"/>
      <c r="CTO167"/>
      <c r="CTP167"/>
      <c r="CTQ167"/>
      <c r="CTR167"/>
      <c r="CTS167"/>
      <c r="CTT167"/>
      <c r="CTU167"/>
      <c r="CTV167"/>
      <c r="CTW167"/>
      <c r="CTX167"/>
      <c r="CTY167"/>
      <c r="CTZ167"/>
      <c r="CUA167"/>
      <c r="CUB167"/>
      <c r="CUC167"/>
      <c r="CUD167"/>
      <c r="CUE167"/>
      <c r="CUF167"/>
      <c r="CUG167"/>
      <c r="CUH167"/>
      <c r="CUI167"/>
      <c r="CUJ167"/>
      <c r="CUK167"/>
      <c r="CUL167"/>
      <c r="CUM167"/>
      <c r="CUN167"/>
      <c r="CUO167"/>
      <c r="CUP167"/>
      <c r="CUQ167"/>
      <c r="CUR167"/>
      <c r="CUS167"/>
      <c r="CUT167"/>
      <c r="CUU167"/>
      <c r="CUV167"/>
      <c r="CUW167"/>
      <c r="CUX167"/>
      <c r="CUY167"/>
      <c r="CUZ167"/>
      <c r="CVA167"/>
      <c r="CVB167"/>
      <c r="CVC167"/>
      <c r="CVD167"/>
      <c r="CVE167"/>
      <c r="CVF167"/>
      <c r="CVG167"/>
      <c r="CVH167"/>
      <c r="CVI167"/>
      <c r="CVJ167"/>
      <c r="CVK167"/>
      <c r="CVL167"/>
      <c r="CVM167"/>
      <c r="CVN167"/>
      <c r="CVO167"/>
      <c r="CVP167"/>
      <c r="CVQ167"/>
      <c r="CVR167"/>
      <c r="CVS167"/>
      <c r="CVT167"/>
      <c r="CVU167"/>
      <c r="CVV167"/>
      <c r="CVW167"/>
      <c r="CVX167"/>
      <c r="CVY167"/>
      <c r="CVZ167"/>
      <c r="CWA167"/>
      <c r="CWB167"/>
      <c r="CWC167"/>
      <c r="CWD167"/>
      <c r="CWE167"/>
      <c r="CWF167"/>
      <c r="CWG167"/>
      <c r="CWH167"/>
      <c r="CWI167"/>
      <c r="CWJ167"/>
      <c r="CWK167"/>
      <c r="CWL167"/>
      <c r="CWM167"/>
      <c r="CWN167"/>
      <c r="CWO167"/>
      <c r="CWP167"/>
      <c r="CWQ167"/>
      <c r="CWR167"/>
      <c r="CWS167"/>
      <c r="CWT167"/>
      <c r="CWU167"/>
      <c r="CWV167"/>
      <c r="CWW167"/>
      <c r="CWX167"/>
      <c r="CWY167"/>
      <c r="CWZ167"/>
      <c r="CXA167"/>
      <c r="CXB167"/>
      <c r="CXC167"/>
      <c r="CXD167"/>
      <c r="CXE167"/>
      <c r="CXF167"/>
      <c r="CXG167"/>
      <c r="CXH167"/>
      <c r="CXI167"/>
      <c r="CXJ167"/>
      <c r="CXK167"/>
      <c r="CXL167"/>
      <c r="CXM167"/>
      <c r="CXN167"/>
      <c r="CXO167"/>
      <c r="CXP167"/>
      <c r="CXQ167"/>
      <c r="CXR167"/>
      <c r="CXS167"/>
      <c r="CXT167"/>
      <c r="CXU167"/>
      <c r="CXV167"/>
      <c r="CXW167"/>
      <c r="CXX167"/>
      <c r="CXY167"/>
      <c r="CXZ167"/>
      <c r="CYA167"/>
      <c r="CYB167"/>
      <c r="CYC167"/>
      <c r="CYD167"/>
      <c r="CYE167"/>
      <c r="CYF167"/>
      <c r="CYG167"/>
      <c r="CYH167"/>
      <c r="CYI167"/>
      <c r="CYJ167"/>
      <c r="CYK167"/>
      <c r="CYL167"/>
      <c r="CYM167"/>
      <c r="CYN167"/>
      <c r="CYO167"/>
      <c r="CYP167"/>
      <c r="CYQ167"/>
      <c r="CYR167"/>
      <c r="CYS167"/>
      <c r="CYT167"/>
      <c r="CYU167"/>
      <c r="CYV167"/>
      <c r="CYW167"/>
      <c r="CYX167"/>
      <c r="CYY167"/>
      <c r="CYZ167"/>
      <c r="CZA167"/>
      <c r="CZB167"/>
      <c r="CZC167"/>
      <c r="CZD167"/>
      <c r="CZE167"/>
      <c r="CZF167"/>
      <c r="CZG167"/>
      <c r="CZH167"/>
      <c r="CZI167"/>
      <c r="CZJ167"/>
      <c r="CZK167"/>
      <c r="CZL167"/>
      <c r="CZM167"/>
      <c r="CZN167"/>
      <c r="CZO167"/>
      <c r="CZP167"/>
      <c r="CZQ167"/>
      <c r="CZR167"/>
      <c r="CZS167"/>
      <c r="CZT167"/>
      <c r="CZU167"/>
      <c r="CZV167"/>
      <c r="CZW167"/>
      <c r="CZX167"/>
      <c r="CZY167"/>
      <c r="CZZ167"/>
      <c r="DAA167"/>
      <c r="DAB167"/>
      <c r="DAC167"/>
      <c r="DAD167"/>
      <c r="DAE167"/>
      <c r="DAF167"/>
      <c r="DAG167"/>
      <c r="DAH167"/>
      <c r="DAI167"/>
      <c r="DAJ167"/>
      <c r="DAK167"/>
      <c r="DAL167"/>
      <c r="DAM167"/>
      <c r="DAN167"/>
      <c r="DAO167"/>
      <c r="DAP167"/>
      <c r="DAQ167"/>
      <c r="DAR167"/>
      <c r="DAS167"/>
      <c r="DAT167"/>
      <c r="DAU167"/>
      <c r="DAV167"/>
      <c r="DAW167"/>
      <c r="DAX167"/>
      <c r="DAY167"/>
      <c r="DAZ167"/>
      <c r="DBA167"/>
      <c r="DBB167"/>
      <c r="DBC167"/>
      <c r="DBD167"/>
      <c r="DBE167"/>
      <c r="DBF167"/>
      <c r="DBG167"/>
      <c r="DBH167"/>
      <c r="DBI167"/>
      <c r="DBJ167"/>
      <c r="DBK167"/>
      <c r="DBL167"/>
      <c r="DBM167"/>
      <c r="DBN167"/>
      <c r="DBO167"/>
      <c r="DBP167"/>
      <c r="DBQ167"/>
      <c r="DBR167"/>
      <c r="DBS167"/>
      <c r="DBT167"/>
      <c r="DBU167"/>
      <c r="DBV167"/>
      <c r="DBW167"/>
      <c r="DBX167"/>
      <c r="DBY167"/>
      <c r="DBZ167"/>
      <c r="DCA167"/>
      <c r="DCB167"/>
      <c r="DCC167"/>
      <c r="DCD167"/>
      <c r="DCE167"/>
      <c r="DCF167"/>
      <c r="DCG167"/>
      <c r="DCH167"/>
      <c r="DCI167"/>
      <c r="DCJ167"/>
      <c r="DCK167"/>
      <c r="DCL167"/>
      <c r="DCM167"/>
      <c r="DCN167"/>
      <c r="DCO167"/>
      <c r="DCP167"/>
      <c r="DCQ167"/>
      <c r="DCR167"/>
      <c r="DCS167"/>
      <c r="DCT167"/>
      <c r="DCU167"/>
      <c r="DCV167"/>
      <c r="DCW167"/>
      <c r="DCX167"/>
      <c r="DCY167"/>
      <c r="DCZ167"/>
      <c r="DDA167"/>
      <c r="DDB167"/>
      <c r="DDC167"/>
      <c r="DDD167"/>
      <c r="DDE167"/>
      <c r="DDF167"/>
      <c r="DDG167"/>
      <c r="DDH167"/>
      <c r="DDI167"/>
      <c r="DDJ167"/>
      <c r="DDK167"/>
      <c r="DDL167"/>
      <c r="DDM167"/>
      <c r="DDN167"/>
      <c r="DDO167"/>
      <c r="DDP167"/>
      <c r="DDQ167"/>
      <c r="DDR167"/>
      <c r="DDS167"/>
      <c r="DDT167"/>
      <c r="DDU167"/>
      <c r="DDV167"/>
      <c r="DDW167"/>
      <c r="DDX167"/>
      <c r="DDY167"/>
      <c r="DDZ167"/>
      <c r="DEA167"/>
      <c r="DEB167"/>
      <c r="DEC167"/>
      <c r="DED167"/>
      <c r="DEE167"/>
      <c r="DEF167"/>
      <c r="DEG167"/>
      <c r="DEH167"/>
      <c r="DEI167"/>
      <c r="DEJ167"/>
      <c r="DEK167"/>
      <c r="DEL167"/>
      <c r="DEM167"/>
      <c r="DEN167"/>
      <c r="DEO167"/>
      <c r="DEP167"/>
      <c r="DEQ167"/>
      <c r="DER167"/>
      <c r="DES167"/>
      <c r="DET167"/>
      <c r="DEU167"/>
      <c r="DEV167"/>
      <c r="DEW167"/>
      <c r="DEX167"/>
      <c r="DEY167"/>
      <c r="DEZ167"/>
      <c r="DFA167"/>
      <c r="DFB167"/>
      <c r="DFC167"/>
      <c r="DFD167"/>
      <c r="DFE167"/>
      <c r="DFF167"/>
      <c r="DFG167"/>
      <c r="DFH167"/>
      <c r="DFI167"/>
      <c r="DFJ167"/>
      <c r="DFK167"/>
      <c r="DFL167"/>
      <c r="DFM167"/>
      <c r="DFN167"/>
      <c r="DFO167"/>
      <c r="DFP167"/>
      <c r="DFQ167"/>
      <c r="DFR167"/>
      <c r="DFS167"/>
      <c r="DFT167"/>
      <c r="DFU167"/>
      <c r="DFV167"/>
      <c r="DFW167"/>
      <c r="DFX167"/>
      <c r="DFY167"/>
      <c r="DFZ167"/>
      <c r="DGA167"/>
      <c r="DGB167"/>
      <c r="DGC167"/>
      <c r="DGD167"/>
      <c r="DGE167"/>
      <c r="DGF167"/>
      <c r="DGG167"/>
      <c r="DGH167"/>
      <c r="DGI167"/>
      <c r="DGJ167"/>
      <c r="DGK167"/>
      <c r="DGL167"/>
      <c r="DGM167"/>
      <c r="DGN167"/>
      <c r="DGO167"/>
      <c r="DGP167"/>
      <c r="DGQ167"/>
      <c r="DGR167"/>
      <c r="DGS167"/>
      <c r="DGT167"/>
      <c r="DGU167"/>
      <c r="DGV167"/>
      <c r="DGW167"/>
      <c r="DGX167"/>
      <c r="DGY167"/>
      <c r="DGZ167"/>
      <c r="DHA167"/>
      <c r="DHB167"/>
      <c r="DHC167"/>
      <c r="DHD167"/>
      <c r="DHE167"/>
      <c r="DHF167"/>
      <c r="DHG167"/>
      <c r="DHH167"/>
      <c r="DHI167"/>
      <c r="DHJ167"/>
      <c r="DHK167"/>
      <c r="DHL167"/>
      <c r="DHM167"/>
      <c r="DHN167"/>
      <c r="DHO167"/>
      <c r="DHP167"/>
      <c r="DHQ167"/>
      <c r="DHR167"/>
      <c r="DHS167"/>
      <c r="DHT167"/>
      <c r="DHU167"/>
      <c r="DHV167"/>
      <c r="DHW167"/>
      <c r="DHX167"/>
      <c r="DHY167"/>
      <c r="DHZ167"/>
      <c r="DIA167"/>
      <c r="DIB167"/>
      <c r="DIC167"/>
      <c r="DID167"/>
      <c r="DIE167"/>
      <c r="DIF167"/>
      <c r="DIG167"/>
      <c r="DIH167"/>
      <c r="DII167"/>
      <c r="DIJ167"/>
      <c r="DIK167"/>
      <c r="DIL167"/>
      <c r="DIM167"/>
      <c r="DIN167"/>
      <c r="DIO167"/>
      <c r="DIP167"/>
      <c r="DIQ167"/>
      <c r="DIR167"/>
      <c r="DIS167"/>
      <c r="DIT167"/>
      <c r="DIU167"/>
      <c r="DIV167"/>
      <c r="DIW167"/>
      <c r="DIX167"/>
      <c r="DIY167"/>
      <c r="DIZ167"/>
      <c r="DJA167"/>
      <c r="DJB167"/>
      <c r="DJC167"/>
      <c r="DJD167"/>
      <c r="DJE167"/>
      <c r="DJF167"/>
      <c r="DJG167"/>
      <c r="DJH167"/>
      <c r="DJI167"/>
      <c r="DJJ167"/>
      <c r="DJK167"/>
      <c r="DJL167"/>
      <c r="DJM167"/>
      <c r="DJN167"/>
      <c r="DJO167"/>
      <c r="DJP167"/>
      <c r="DJQ167"/>
      <c r="DJR167"/>
      <c r="DJS167"/>
      <c r="DJT167"/>
      <c r="DJU167"/>
      <c r="DJV167"/>
      <c r="DJW167"/>
      <c r="DJX167"/>
      <c r="DJY167"/>
      <c r="DJZ167"/>
      <c r="DKA167"/>
      <c r="DKB167"/>
      <c r="DKC167"/>
      <c r="DKD167"/>
      <c r="DKE167"/>
      <c r="DKF167"/>
      <c r="DKG167"/>
      <c r="DKH167"/>
      <c r="DKI167"/>
      <c r="DKJ167"/>
      <c r="DKK167"/>
      <c r="DKL167"/>
      <c r="DKM167"/>
      <c r="DKN167"/>
      <c r="DKO167"/>
      <c r="DKP167"/>
      <c r="DKQ167"/>
      <c r="DKR167"/>
      <c r="DKS167"/>
      <c r="DKT167"/>
      <c r="DKU167"/>
      <c r="DKV167"/>
      <c r="DKW167"/>
      <c r="DKX167"/>
      <c r="DKY167"/>
      <c r="DKZ167"/>
      <c r="DLA167"/>
      <c r="DLB167"/>
      <c r="DLC167"/>
      <c r="DLD167"/>
      <c r="DLE167"/>
      <c r="DLF167"/>
      <c r="DLG167"/>
      <c r="DLH167"/>
      <c r="DLI167"/>
      <c r="DLJ167"/>
      <c r="DLK167"/>
      <c r="DLL167"/>
      <c r="DLM167"/>
      <c r="DLN167"/>
      <c r="DLO167"/>
      <c r="DLP167"/>
      <c r="DLQ167"/>
      <c r="DLR167"/>
      <c r="DLS167"/>
      <c r="DLT167"/>
      <c r="DLU167"/>
      <c r="DLV167"/>
      <c r="DLW167"/>
      <c r="DLX167"/>
      <c r="DLY167"/>
      <c r="DLZ167"/>
      <c r="DMA167"/>
      <c r="DMB167"/>
      <c r="DMC167"/>
      <c r="DMD167"/>
      <c r="DME167"/>
      <c r="DMF167"/>
      <c r="DMG167"/>
      <c r="DMH167"/>
      <c r="DMI167"/>
      <c r="DMJ167"/>
      <c r="DMK167"/>
      <c r="DML167"/>
      <c r="DMM167"/>
      <c r="DMN167"/>
      <c r="DMO167"/>
      <c r="DMP167"/>
      <c r="DMQ167"/>
      <c r="DMR167"/>
      <c r="DMS167"/>
      <c r="DMT167"/>
      <c r="DMU167"/>
      <c r="DMV167"/>
      <c r="DMW167"/>
      <c r="DMX167"/>
      <c r="DMY167"/>
      <c r="DMZ167"/>
      <c r="DNA167"/>
      <c r="DNB167"/>
      <c r="DNC167"/>
      <c r="DND167"/>
      <c r="DNE167"/>
      <c r="DNF167"/>
      <c r="DNG167"/>
      <c r="DNH167"/>
      <c r="DNI167"/>
      <c r="DNJ167"/>
      <c r="DNK167"/>
      <c r="DNL167"/>
      <c r="DNM167"/>
      <c r="DNN167"/>
      <c r="DNO167"/>
      <c r="DNP167"/>
      <c r="DNQ167"/>
      <c r="DNR167"/>
      <c r="DNS167"/>
      <c r="DNT167"/>
      <c r="DNU167"/>
      <c r="DNV167"/>
      <c r="DNW167"/>
      <c r="DNX167"/>
      <c r="DNY167"/>
      <c r="DNZ167"/>
      <c r="DOA167"/>
      <c r="DOB167"/>
      <c r="DOC167"/>
      <c r="DOD167"/>
      <c r="DOE167"/>
      <c r="DOF167"/>
      <c r="DOG167"/>
      <c r="DOH167"/>
      <c r="DOI167"/>
      <c r="DOJ167"/>
      <c r="DOK167"/>
      <c r="DOL167"/>
      <c r="DOM167"/>
      <c r="DON167"/>
      <c r="DOO167"/>
      <c r="DOP167"/>
      <c r="DOQ167"/>
      <c r="DOR167"/>
      <c r="DOS167"/>
      <c r="DOT167"/>
      <c r="DOU167"/>
      <c r="DOV167"/>
      <c r="DOW167"/>
      <c r="DOX167"/>
      <c r="DOY167"/>
      <c r="DOZ167"/>
      <c r="DPA167"/>
      <c r="DPB167"/>
      <c r="DPC167"/>
      <c r="DPD167"/>
      <c r="DPE167"/>
      <c r="DPF167"/>
      <c r="DPG167"/>
      <c r="DPH167"/>
      <c r="DPI167"/>
      <c r="DPJ167"/>
      <c r="DPK167"/>
      <c r="DPL167"/>
      <c r="DPM167"/>
      <c r="DPN167"/>
      <c r="DPO167"/>
      <c r="DPP167"/>
      <c r="DPQ167"/>
      <c r="DPR167"/>
      <c r="DPS167"/>
      <c r="DPT167"/>
      <c r="DPU167"/>
      <c r="DPV167"/>
      <c r="DPW167"/>
      <c r="DPX167"/>
      <c r="DPY167"/>
      <c r="DPZ167"/>
      <c r="DQA167"/>
      <c r="DQB167"/>
      <c r="DQC167"/>
      <c r="DQD167"/>
      <c r="DQE167"/>
      <c r="DQF167"/>
      <c r="DQG167"/>
      <c r="DQH167"/>
      <c r="DQI167"/>
      <c r="DQJ167"/>
      <c r="DQK167"/>
      <c r="DQL167"/>
      <c r="DQM167"/>
      <c r="DQN167"/>
      <c r="DQO167"/>
      <c r="DQP167"/>
      <c r="DQQ167"/>
      <c r="DQR167"/>
      <c r="DQS167"/>
      <c r="DQT167"/>
      <c r="DQU167"/>
      <c r="DQV167"/>
      <c r="DQW167"/>
      <c r="DQX167"/>
      <c r="DQY167"/>
      <c r="DQZ167"/>
      <c r="DRA167"/>
      <c r="DRB167"/>
      <c r="DRC167"/>
      <c r="DRD167"/>
      <c r="DRE167"/>
      <c r="DRF167"/>
      <c r="DRG167"/>
      <c r="DRH167"/>
      <c r="DRI167"/>
      <c r="DRJ167"/>
      <c r="DRK167"/>
      <c r="DRL167"/>
      <c r="DRM167"/>
      <c r="DRN167"/>
      <c r="DRO167"/>
      <c r="DRP167"/>
      <c r="DRQ167"/>
      <c r="DRR167"/>
      <c r="DRS167"/>
      <c r="DRT167"/>
      <c r="DRU167"/>
      <c r="DRV167"/>
      <c r="DRW167"/>
      <c r="DRX167"/>
      <c r="DRY167"/>
      <c r="DRZ167"/>
      <c r="DSA167"/>
      <c r="DSB167"/>
      <c r="DSC167"/>
      <c r="DSD167"/>
      <c r="DSE167"/>
      <c r="DSF167"/>
      <c r="DSG167"/>
      <c r="DSH167"/>
      <c r="DSI167"/>
      <c r="DSJ167"/>
      <c r="DSK167"/>
      <c r="DSL167"/>
      <c r="DSM167"/>
      <c r="DSN167"/>
      <c r="DSO167"/>
      <c r="DSP167"/>
      <c r="DSQ167"/>
      <c r="DSR167"/>
      <c r="DSS167"/>
      <c r="DST167"/>
      <c r="DSU167"/>
      <c r="DSV167"/>
      <c r="DSW167"/>
      <c r="DSX167"/>
      <c r="DSY167"/>
      <c r="DSZ167"/>
      <c r="DTA167"/>
      <c r="DTB167"/>
      <c r="DTC167"/>
      <c r="DTD167"/>
      <c r="DTE167"/>
      <c r="DTF167"/>
      <c r="DTG167"/>
      <c r="DTH167"/>
      <c r="DTI167"/>
      <c r="DTJ167"/>
      <c r="DTK167"/>
      <c r="DTL167"/>
      <c r="DTM167"/>
      <c r="DTN167"/>
      <c r="DTO167"/>
      <c r="DTP167"/>
      <c r="DTQ167"/>
      <c r="DTR167"/>
      <c r="DTS167"/>
      <c r="DTT167"/>
      <c r="DTU167"/>
      <c r="DTV167"/>
      <c r="DTW167"/>
      <c r="DTX167"/>
      <c r="DTY167"/>
      <c r="DTZ167"/>
      <c r="DUA167"/>
      <c r="DUB167"/>
      <c r="DUC167"/>
      <c r="DUD167"/>
      <c r="DUE167"/>
      <c r="DUF167"/>
      <c r="DUG167"/>
      <c r="DUH167"/>
      <c r="DUI167"/>
      <c r="DUJ167"/>
      <c r="DUK167"/>
      <c r="DUL167"/>
      <c r="DUM167"/>
      <c r="DUN167"/>
      <c r="DUO167"/>
      <c r="DUP167"/>
      <c r="DUQ167"/>
      <c r="DUR167"/>
      <c r="DUS167"/>
      <c r="DUT167"/>
      <c r="DUU167"/>
      <c r="DUV167"/>
      <c r="DUW167"/>
      <c r="DUX167"/>
      <c r="DUY167"/>
      <c r="DUZ167"/>
      <c r="DVA167"/>
      <c r="DVB167"/>
      <c r="DVC167"/>
      <c r="DVD167"/>
      <c r="DVE167"/>
      <c r="DVF167"/>
      <c r="DVG167"/>
      <c r="DVH167"/>
      <c r="DVI167"/>
      <c r="DVJ167"/>
      <c r="DVK167"/>
      <c r="DVL167"/>
      <c r="DVM167"/>
      <c r="DVN167"/>
      <c r="DVO167"/>
      <c r="DVP167"/>
      <c r="DVQ167"/>
      <c r="DVR167"/>
      <c r="DVS167"/>
      <c r="DVT167"/>
      <c r="DVU167"/>
      <c r="DVV167"/>
      <c r="DVW167"/>
      <c r="DVX167"/>
      <c r="DVY167"/>
      <c r="DVZ167"/>
      <c r="DWA167"/>
      <c r="DWB167"/>
      <c r="DWC167"/>
      <c r="DWD167"/>
      <c r="DWE167"/>
      <c r="DWF167"/>
      <c r="DWG167"/>
      <c r="DWH167"/>
      <c r="DWI167"/>
      <c r="DWJ167"/>
      <c r="DWK167"/>
      <c r="DWL167"/>
      <c r="DWM167"/>
      <c r="DWN167"/>
      <c r="DWO167"/>
      <c r="DWP167"/>
      <c r="DWQ167"/>
      <c r="DWR167"/>
      <c r="DWS167"/>
      <c r="DWT167"/>
      <c r="DWU167"/>
      <c r="DWV167"/>
      <c r="DWW167"/>
      <c r="DWX167"/>
      <c r="DWY167"/>
      <c r="DWZ167"/>
      <c r="DXA167"/>
      <c r="DXB167"/>
      <c r="DXC167"/>
      <c r="DXD167"/>
      <c r="DXE167"/>
      <c r="DXF167"/>
      <c r="DXG167"/>
      <c r="DXH167"/>
      <c r="DXI167"/>
      <c r="DXJ167"/>
      <c r="DXK167"/>
      <c r="DXL167"/>
      <c r="DXM167"/>
      <c r="DXN167"/>
      <c r="DXO167"/>
      <c r="DXP167"/>
      <c r="DXQ167"/>
      <c r="DXR167"/>
      <c r="DXS167"/>
      <c r="DXT167"/>
      <c r="DXU167"/>
      <c r="DXV167"/>
      <c r="DXW167"/>
      <c r="DXX167"/>
      <c r="DXY167"/>
      <c r="DXZ167"/>
      <c r="DYA167"/>
      <c r="DYB167"/>
      <c r="DYC167"/>
      <c r="DYD167"/>
      <c r="DYE167"/>
      <c r="DYF167"/>
      <c r="DYG167"/>
      <c r="DYH167"/>
      <c r="DYI167"/>
      <c r="DYJ167"/>
      <c r="DYK167"/>
      <c r="DYL167"/>
      <c r="DYM167"/>
      <c r="DYN167"/>
      <c r="DYO167"/>
      <c r="DYP167"/>
      <c r="DYQ167"/>
      <c r="DYR167"/>
      <c r="DYS167"/>
      <c r="DYT167"/>
      <c r="DYU167"/>
      <c r="DYV167"/>
      <c r="DYW167"/>
      <c r="DYX167"/>
      <c r="DYY167"/>
      <c r="DYZ167"/>
      <c r="DZA167"/>
      <c r="DZB167"/>
      <c r="DZC167"/>
      <c r="DZD167"/>
      <c r="DZE167"/>
      <c r="DZF167"/>
      <c r="DZG167"/>
      <c r="DZH167"/>
      <c r="DZI167"/>
      <c r="DZJ167"/>
      <c r="DZK167"/>
      <c r="DZL167"/>
      <c r="DZM167"/>
      <c r="DZN167"/>
      <c r="DZO167"/>
      <c r="DZP167"/>
      <c r="DZQ167"/>
      <c r="DZR167"/>
      <c r="DZS167"/>
      <c r="DZT167"/>
      <c r="DZU167"/>
      <c r="DZV167"/>
      <c r="DZW167"/>
      <c r="DZX167"/>
      <c r="DZY167"/>
      <c r="DZZ167"/>
      <c r="EAA167"/>
      <c r="EAB167"/>
      <c r="EAC167"/>
      <c r="EAD167"/>
      <c r="EAE167"/>
      <c r="EAF167"/>
      <c r="EAG167"/>
      <c r="EAH167"/>
      <c r="EAI167"/>
      <c r="EAJ167"/>
      <c r="EAK167"/>
      <c r="EAL167"/>
      <c r="EAM167"/>
      <c r="EAN167"/>
      <c r="EAO167"/>
      <c r="EAP167"/>
      <c r="EAQ167"/>
      <c r="EAR167"/>
      <c r="EAS167"/>
      <c r="EAT167"/>
      <c r="EAU167"/>
      <c r="EAV167"/>
      <c r="EAW167"/>
      <c r="EAX167"/>
      <c r="EAY167"/>
      <c r="EAZ167"/>
      <c r="EBA167"/>
      <c r="EBB167"/>
      <c r="EBC167"/>
      <c r="EBD167"/>
      <c r="EBE167"/>
      <c r="EBF167"/>
      <c r="EBG167"/>
      <c r="EBH167"/>
      <c r="EBI167"/>
      <c r="EBJ167"/>
      <c r="EBK167"/>
      <c r="EBL167"/>
      <c r="EBM167"/>
      <c r="EBN167"/>
      <c r="EBO167"/>
      <c r="EBP167"/>
      <c r="EBQ167"/>
      <c r="EBR167"/>
      <c r="EBS167"/>
      <c r="EBT167"/>
      <c r="EBU167"/>
      <c r="EBV167"/>
      <c r="EBW167"/>
      <c r="EBX167"/>
      <c r="EBY167"/>
      <c r="EBZ167"/>
      <c r="ECA167"/>
      <c r="ECB167"/>
      <c r="ECC167"/>
      <c r="ECD167"/>
      <c r="ECE167"/>
      <c r="ECF167"/>
      <c r="ECG167"/>
      <c r="ECH167"/>
      <c r="ECI167"/>
      <c r="ECJ167"/>
      <c r="ECK167"/>
      <c r="ECL167"/>
      <c r="ECM167"/>
      <c r="ECN167"/>
      <c r="ECO167"/>
      <c r="ECP167"/>
      <c r="ECQ167"/>
      <c r="ECR167"/>
      <c r="ECS167"/>
      <c r="ECT167"/>
      <c r="ECU167"/>
      <c r="ECV167"/>
      <c r="ECW167"/>
      <c r="ECX167"/>
      <c r="ECY167"/>
      <c r="ECZ167"/>
      <c r="EDA167"/>
      <c r="EDB167"/>
      <c r="EDC167"/>
      <c r="EDD167"/>
      <c r="EDE167"/>
      <c r="EDF167"/>
      <c r="EDG167"/>
      <c r="EDH167"/>
      <c r="EDI167"/>
      <c r="EDJ167"/>
      <c r="EDK167"/>
      <c r="EDL167"/>
      <c r="EDM167"/>
      <c r="EDN167"/>
      <c r="EDO167"/>
      <c r="EDP167"/>
      <c r="EDQ167"/>
      <c r="EDR167"/>
      <c r="EDS167"/>
      <c r="EDT167"/>
      <c r="EDU167"/>
      <c r="EDV167"/>
      <c r="EDW167"/>
      <c r="EDX167"/>
      <c r="EDY167"/>
      <c r="EDZ167"/>
      <c r="EEA167"/>
      <c r="EEB167"/>
      <c r="EEC167"/>
      <c r="EED167"/>
      <c r="EEE167"/>
      <c r="EEF167"/>
      <c r="EEG167"/>
      <c r="EEH167"/>
      <c r="EEI167"/>
      <c r="EEJ167"/>
      <c r="EEK167"/>
      <c r="EEL167"/>
      <c r="EEM167"/>
      <c r="EEN167"/>
      <c r="EEO167"/>
      <c r="EEP167"/>
      <c r="EEQ167"/>
      <c r="EER167"/>
      <c r="EES167"/>
      <c r="EET167"/>
      <c r="EEU167"/>
      <c r="EEV167"/>
      <c r="EEW167"/>
      <c r="EEX167"/>
      <c r="EEY167"/>
      <c r="EEZ167"/>
      <c r="EFA167"/>
      <c r="EFB167"/>
      <c r="EFC167"/>
      <c r="EFD167"/>
      <c r="EFE167"/>
      <c r="EFF167"/>
      <c r="EFG167"/>
      <c r="EFH167"/>
      <c r="EFI167"/>
      <c r="EFJ167"/>
      <c r="EFK167"/>
      <c r="EFL167"/>
      <c r="EFM167"/>
      <c r="EFN167"/>
      <c r="EFO167"/>
      <c r="EFP167"/>
      <c r="EFQ167"/>
      <c r="EFR167"/>
      <c r="EFS167"/>
      <c r="EFT167"/>
      <c r="EFU167"/>
      <c r="EFV167"/>
      <c r="EFW167"/>
      <c r="EFX167"/>
      <c r="EFY167"/>
      <c r="EFZ167"/>
      <c r="EGA167"/>
      <c r="EGB167"/>
      <c r="EGC167"/>
      <c r="EGD167"/>
      <c r="EGE167"/>
      <c r="EGF167"/>
      <c r="EGG167"/>
      <c r="EGH167"/>
      <c r="EGI167"/>
      <c r="EGJ167"/>
      <c r="EGK167"/>
      <c r="EGL167"/>
      <c r="EGM167"/>
      <c r="EGN167"/>
      <c r="EGO167"/>
      <c r="EGP167"/>
      <c r="EGQ167"/>
      <c r="EGR167"/>
      <c r="EGS167"/>
      <c r="EGT167"/>
      <c r="EGU167"/>
      <c r="EGV167"/>
      <c r="EGW167"/>
      <c r="EGX167"/>
      <c r="EGY167"/>
      <c r="EGZ167"/>
      <c r="EHA167"/>
      <c r="EHB167"/>
      <c r="EHC167"/>
      <c r="EHD167"/>
      <c r="EHE167"/>
      <c r="EHF167"/>
      <c r="EHG167"/>
      <c r="EHH167"/>
      <c r="EHI167"/>
      <c r="EHJ167"/>
      <c r="EHK167"/>
      <c r="EHL167"/>
      <c r="EHM167"/>
      <c r="EHN167"/>
      <c r="EHO167"/>
      <c r="EHP167"/>
      <c r="EHQ167"/>
      <c r="EHR167"/>
      <c r="EHS167"/>
      <c r="EHT167"/>
      <c r="EHU167"/>
      <c r="EHV167"/>
      <c r="EHW167"/>
      <c r="EHX167"/>
      <c r="EHY167"/>
      <c r="EHZ167"/>
      <c r="EIA167"/>
      <c r="EIB167"/>
      <c r="EIC167"/>
      <c r="EID167"/>
      <c r="EIE167"/>
      <c r="EIF167"/>
      <c r="EIG167"/>
      <c r="EIH167"/>
      <c r="EII167"/>
      <c r="EIJ167"/>
      <c r="EIK167"/>
      <c r="EIL167"/>
      <c r="EIM167"/>
      <c r="EIN167"/>
      <c r="EIO167"/>
      <c r="EIP167"/>
      <c r="EIQ167"/>
      <c r="EIR167"/>
      <c r="EIS167"/>
      <c r="EIT167"/>
      <c r="EIU167"/>
      <c r="EIV167"/>
      <c r="EIW167"/>
      <c r="EIX167"/>
      <c r="EIY167"/>
      <c r="EIZ167"/>
      <c r="EJA167"/>
      <c r="EJB167"/>
      <c r="EJC167"/>
      <c r="EJD167"/>
      <c r="EJE167"/>
      <c r="EJF167"/>
      <c r="EJG167"/>
      <c r="EJH167"/>
      <c r="EJI167"/>
      <c r="EJJ167"/>
      <c r="EJK167"/>
      <c r="EJL167"/>
      <c r="EJM167"/>
      <c r="EJN167"/>
      <c r="EJO167"/>
      <c r="EJP167"/>
      <c r="EJQ167"/>
      <c r="EJR167"/>
      <c r="EJS167"/>
      <c r="EJT167"/>
      <c r="EJU167"/>
      <c r="EJV167"/>
      <c r="EJW167"/>
      <c r="EJX167"/>
      <c r="EJY167"/>
      <c r="EJZ167"/>
      <c r="EKA167"/>
      <c r="EKB167"/>
      <c r="EKC167"/>
      <c r="EKD167"/>
      <c r="EKE167"/>
      <c r="EKF167"/>
      <c r="EKG167"/>
      <c r="EKH167"/>
      <c r="EKI167"/>
      <c r="EKJ167"/>
      <c r="EKK167"/>
      <c r="EKL167"/>
      <c r="EKM167"/>
      <c r="EKN167"/>
      <c r="EKO167"/>
      <c r="EKP167"/>
      <c r="EKQ167"/>
      <c r="EKR167"/>
      <c r="EKS167"/>
      <c r="EKT167"/>
      <c r="EKU167"/>
      <c r="EKV167"/>
      <c r="EKW167"/>
      <c r="EKX167"/>
      <c r="EKY167"/>
      <c r="EKZ167"/>
      <c r="ELA167"/>
      <c r="ELB167"/>
      <c r="ELC167"/>
      <c r="ELD167"/>
      <c r="ELE167"/>
      <c r="ELF167"/>
      <c r="ELG167"/>
      <c r="ELH167"/>
      <c r="ELI167"/>
      <c r="ELJ167"/>
      <c r="ELK167"/>
      <c r="ELL167"/>
      <c r="ELM167"/>
      <c r="ELN167"/>
      <c r="ELO167"/>
      <c r="ELP167"/>
      <c r="ELQ167"/>
      <c r="ELR167"/>
      <c r="ELS167"/>
      <c r="ELT167"/>
      <c r="ELU167"/>
      <c r="ELV167"/>
      <c r="ELW167"/>
      <c r="ELX167"/>
      <c r="ELY167"/>
      <c r="ELZ167"/>
      <c r="EMA167"/>
      <c r="EMB167"/>
      <c r="EMC167"/>
      <c r="EMD167"/>
      <c r="EME167"/>
      <c r="EMF167"/>
      <c r="EMG167"/>
      <c r="EMH167"/>
      <c r="EMI167"/>
      <c r="EMJ167"/>
      <c r="EMK167"/>
      <c r="EML167"/>
      <c r="EMM167"/>
      <c r="EMN167"/>
      <c r="EMO167"/>
      <c r="EMP167"/>
      <c r="EMQ167"/>
      <c r="EMR167"/>
      <c r="EMS167"/>
      <c r="EMT167"/>
      <c r="EMU167"/>
      <c r="EMV167"/>
      <c r="EMW167"/>
      <c r="EMX167"/>
      <c r="EMY167"/>
      <c r="EMZ167"/>
      <c r="ENA167"/>
      <c r="ENB167"/>
      <c r="ENC167"/>
      <c r="END167"/>
      <c r="ENE167"/>
      <c r="ENF167"/>
      <c r="ENG167"/>
      <c r="ENH167"/>
      <c r="ENI167"/>
      <c r="ENJ167"/>
      <c r="ENK167"/>
      <c r="ENL167"/>
      <c r="ENM167"/>
      <c r="ENN167"/>
      <c r="ENO167"/>
      <c r="ENP167"/>
      <c r="ENQ167"/>
      <c r="ENR167"/>
      <c r="ENS167"/>
      <c r="ENT167"/>
      <c r="ENU167"/>
      <c r="ENV167"/>
      <c r="ENW167"/>
      <c r="ENX167"/>
      <c r="ENY167"/>
      <c r="ENZ167"/>
      <c r="EOA167"/>
      <c r="EOB167"/>
      <c r="EOC167"/>
      <c r="EOD167"/>
      <c r="EOE167"/>
      <c r="EOF167"/>
      <c r="EOG167"/>
      <c r="EOH167"/>
      <c r="EOI167"/>
      <c r="EOJ167"/>
      <c r="EOK167"/>
      <c r="EOL167"/>
      <c r="EOM167"/>
      <c r="EON167"/>
      <c r="EOO167"/>
      <c r="EOP167"/>
      <c r="EOQ167"/>
      <c r="EOR167"/>
      <c r="EOS167"/>
      <c r="EOT167"/>
      <c r="EOU167"/>
      <c r="EOV167"/>
      <c r="EOW167"/>
      <c r="EOX167"/>
      <c r="EOY167"/>
      <c r="EOZ167"/>
      <c r="EPA167"/>
      <c r="EPB167"/>
      <c r="EPC167"/>
      <c r="EPD167"/>
      <c r="EPE167"/>
      <c r="EPF167"/>
      <c r="EPG167"/>
      <c r="EPH167"/>
      <c r="EPI167"/>
      <c r="EPJ167"/>
      <c r="EPK167"/>
      <c r="EPL167"/>
      <c r="EPM167"/>
      <c r="EPN167"/>
      <c r="EPO167"/>
      <c r="EPP167"/>
      <c r="EPQ167"/>
      <c r="EPR167"/>
      <c r="EPS167"/>
      <c r="EPT167"/>
      <c r="EPU167"/>
      <c r="EPV167"/>
      <c r="EPW167"/>
      <c r="EPX167"/>
      <c r="EPY167"/>
      <c r="EPZ167"/>
      <c r="EQA167"/>
      <c r="EQB167"/>
      <c r="EQC167"/>
      <c r="EQD167"/>
      <c r="EQE167"/>
      <c r="EQF167"/>
      <c r="EQG167"/>
      <c r="EQH167"/>
      <c r="EQI167"/>
      <c r="EQJ167"/>
      <c r="EQK167"/>
      <c r="EQL167"/>
      <c r="EQM167"/>
      <c r="EQN167"/>
      <c r="EQO167"/>
      <c r="EQP167"/>
      <c r="EQQ167"/>
      <c r="EQR167"/>
      <c r="EQS167"/>
      <c r="EQT167"/>
      <c r="EQU167"/>
      <c r="EQV167"/>
      <c r="EQW167"/>
      <c r="EQX167"/>
      <c r="EQY167"/>
      <c r="EQZ167"/>
      <c r="ERA167"/>
      <c r="ERB167"/>
      <c r="ERC167"/>
      <c r="ERD167"/>
      <c r="ERE167"/>
      <c r="ERF167"/>
      <c r="ERG167"/>
      <c r="ERH167"/>
      <c r="ERI167"/>
      <c r="ERJ167"/>
      <c r="ERK167"/>
      <c r="ERL167"/>
      <c r="ERM167"/>
      <c r="ERN167"/>
      <c r="ERO167"/>
      <c r="ERP167"/>
      <c r="ERQ167"/>
      <c r="ERR167"/>
      <c r="ERS167"/>
      <c r="ERT167"/>
      <c r="ERU167"/>
      <c r="ERV167"/>
      <c r="ERW167"/>
      <c r="ERX167"/>
      <c r="ERY167"/>
      <c r="ERZ167"/>
      <c r="ESA167"/>
      <c r="ESB167"/>
      <c r="ESC167"/>
      <c r="ESD167"/>
      <c r="ESE167"/>
      <c r="ESF167"/>
      <c r="ESG167"/>
      <c r="ESH167"/>
      <c r="ESI167"/>
      <c r="ESJ167"/>
      <c r="ESK167"/>
      <c r="ESL167"/>
      <c r="ESM167"/>
      <c r="ESN167"/>
      <c r="ESO167"/>
      <c r="ESP167"/>
      <c r="ESQ167"/>
      <c r="ESR167"/>
      <c r="ESS167"/>
      <c r="EST167"/>
      <c r="ESU167"/>
      <c r="ESV167"/>
      <c r="ESW167"/>
      <c r="ESX167"/>
      <c r="ESY167"/>
      <c r="ESZ167"/>
      <c r="ETA167"/>
      <c r="ETB167"/>
      <c r="ETC167"/>
      <c r="ETD167"/>
      <c r="ETE167"/>
      <c r="ETF167"/>
      <c r="ETG167"/>
      <c r="ETH167"/>
      <c r="ETI167"/>
      <c r="ETJ167"/>
      <c r="ETK167"/>
      <c r="ETL167"/>
      <c r="ETM167"/>
      <c r="ETN167"/>
      <c r="ETO167"/>
      <c r="ETP167"/>
      <c r="ETQ167"/>
      <c r="ETR167"/>
      <c r="ETS167"/>
      <c r="ETT167"/>
      <c r="ETU167"/>
      <c r="ETV167"/>
      <c r="ETW167"/>
      <c r="ETX167"/>
      <c r="ETY167"/>
      <c r="ETZ167"/>
      <c r="EUA167"/>
      <c r="EUB167"/>
      <c r="EUC167"/>
      <c r="EUD167"/>
      <c r="EUE167"/>
      <c r="EUF167"/>
      <c r="EUG167"/>
      <c r="EUH167"/>
      <c r="EUI167"/>
      <c r="EUJ167"/>
      <c r="EUK167"/>
      <c r="EUL167"/>
      <c r="EUM167"/>
      <c r="EUN167"/>
      <c r="EUO167"/>
      <c r="EUP167"/>
      <c r="EUQ167"/>
      <c r="EUR167"/>
      <c r="EUS167"/>
      <c r="EUT167"/>
      <c r="EUU167"/>
      <c r="EUV167"/>
      <c r="EUW167"/>
      <c r="EUX167"/>
      <c r="EUY167"/>
      <c r="EUZ167"/>
      <c r="EVA167"/>
      <c r="EVB167"/>
      <c r="EVC167"/>
      <c r="EVD167"/>
      <c r="EVE167"/>
      <c r="EVF167"/>
      <c r="EVG167"/>
      <c r="EVH167"/>
      <c r="EVI167"/>
      <c r="EVJ167"/>
      <c r="EVK167"/>
      <c r="EVL167"/>
      <c r="EVM167"/>
      <c r="EVN167"/>
      <c r="EVO167"/>
      <c r="EVP167"/>
      <c r="EVQ167"/>
      <c r="EVR167"/>
      <c r="EVS167"/>
      <c r="EVT167"/>
      <c r="EVU167"/>
      <c r="EVV167"/>
      <c r="EVW167"/>
      <c r="EVX167"/>
      <c r="EVY167"/>
      <c r="EVZ167"/>
      <c r="EWA167"/>
      <c r="EWB167"/>
      <c r="EWC167"/>
      <c r="EWD167"/>
      <c r="EWE167"/>
      <c r="EWF167"/>
      <c r="EWG167"/>
      <c r="EWH167"/>
      <c r="EWI167"/>
      <c r="EWJ167"/>
      <c r="EWK167"/>
      <c r="EWL167"/>
      <c r="EWM167"/>
      <c r="EWN167"/>
      <c r="EWO167"/>
      <c r="EWP167"/>
      <c r="EWQ167"/>
      <c r="EWR167"/>
      <c r="EWS167"/>
      <c r="EWT167"/>
      <c r="EWU167"/>
      <c r="EWV167"/>
      <c r="EWW167"/>
      <c r="EWX167"/>
      <c r="EWY167"/>
      <c r="EWZ167"/>
      <c r="EXA167"/>
      <c r="EXB167"/>
      <c r="EXC167"/>
      <c r="EXD167"/>
      <c r="EXE167"/>
      <c r="EXF167"/>
      <c r="EXG167"/>
      <c r="EXH167"/>
      <c r="EXI167"/>
      <c r="EXJ167"/>
      <c r="EXK167"/>
      <c r="EXL167"/>
      <c r="EXM167"/>
      <c r="EXN167"/>
      <c r="EXO167"/>
      <c r="EXP167"/>
      <c r="EXQ167"/>
      <c r="EXR167"/>
      <c r="EXS167"/>
      <c r="EXT167"/>
      <c r="EXU167"/>
      <c r="EXV167"/>
      <c r="EXW167"/>
      <c r="EXX167"/>
      <c r="EXY167"/>
      <c r="EXZ167"/>
      <c r="EYA167"/>
      <c r="EYB167"/>
      <c r="EYC167"/>
      <c r="EYD167"/>
      <c r="EYE167"/>
      <c r="EYF167"/>
      <c r="EYG167"/>
      <c r="EYH167"/>
      <c r="EYI167"/>
      <c r="EYJ167"/>
      <c r="EYK167"/>
      <c r="EYL167"/>
      <c r="EYM167"/>
      <c r="EYN167"/>
      <c r="EYO167"/>
      <c r="EYP167"/>
      <c r="EYQ167"/>
      <c r="EYR167"/>
      <c r="EYS167"/>
      <c r="EYT167"/>
      <c r="EYU167"/>
      <c r="EYV167"/>
      <c r="EYW167"/>
      <c r="EYX167"/>
      <c r="EYY167"/>
      <c r="EYZ167"/>
      <c r="EZA167"/>
      <c r="EZB167"/>
      <c r="EZC167"/>
      <c r="EZD167"/>
      <c r="EZE167"/>
      <c r="EZF167"/>
      <c r="EZG167"/>
      <c r="EZH167"/>
      <c r="EZI167"/>
      <c r="EZJ167"/>
      <c r="EZK167"/>
      <c r="EZL167"/>
      <c r="EZM167"/>
      <c r="EZN167"/>
      <c r="EZO167"/>
      <c r="EZP167"/>
      <c r="EZQ167"/>
      <c r="EZR167"/>
      <c r="EZS167"/>
      <c r="EZT167"/>
      <c r="EZU167"/>
      <c r="EZV167"/>
      <c r="EZW167"/>
      <c r="EZX167"/>
      <c r="EZY167"/>
      <c r="EZZ167"/>
      <c r="FAA167"/>
      <c r="FAB167"/>
      <c r="FAC167"/>
      <c r="FAD167"/>
      <c r="FAE167"/>
      <c r="FAF167"/>
      <c r="FAG167"/>
      <c r="FAH167"/>
      <c r="FAI167"/>
      <c r="FAJ167"/>
      <c r="FAK167"/>
      <c r="FAL167"/>
      <c r="FAM167"/>
      <c r="FAN167"/>
      <c r="FAO167"/>
      <c r="FAP167"/>
      <c r="FAQ167"/>
      <c r="FAR167"/>
      <c r="FAS167"/>
      <c r="FAT167"/>
      <c r="FAU167"/>
      <c r="FAV167"/>
      <c r="FAW167"/>
      <c r="FAX167"/>
      <c r="FAY167"/>
      <c r="FAZ167"/>
      <c r="FBA167"/>
      <c r="FBB167"/>
      <c r="FBC167"/>
      <c r="FBD167"/>
      <c r="FBE167"/>
      <c r="FBF167"/>
      <c r="FBG167"/>
      <c r="FBH167"/>
      <c r="FBI167"/>
      <c r="FBJ167"/>
      <c r="FBK167"/>
      <c r="FBL167"/>
      <c r="FBM167"/>
      <c r="FBN167"/>
      <c r="FBO167"/>
      <c r="FBP167"/>
      <c r="FBQ167"/>
      <c r="FBR167"/>
      <c r="FBS167"/>
      <c r="FBT167"/>
      <c r="FBU167"/>
      <c r="FBV167"/>
      <c r="FBW167"/>
      <c r="FBX167"/>
      <c r="FBY167"/>
      <c r="FBZ167"/>
      <c r="FCA167"/>
      <c r="FCB167"/>
      <c r="FCC167"/>
      <c r="FCD167"/>
      <c r="FCE167"/>
      <c r="FCF167"/>
      <c r="FCG167"/>
      <c r="FCH167"/>
      <c r="FCI167"/>
      <c r="FCJ167"/>
      <c r="FCK167"/>
      <c r="FCL167"/>
      <c r="FCM167"/>
      <c r="FCN167"/>
      <c r="FCO167"/>
      <c r="FCP167"/>
      <c r="FCQ167"/>
      <c r="FCR167"/>
      <c r="FCS167"/>
      <c r="FCT167"/>
      <c r="FCU167"/>
      <c r="FCV167"/>
      <c r="FCW167"/>
      <c r="FCX167"/>
      <c r="FCY167"/>
      <c r="FCZ167"/>
      <c r="FDA167"/>
      <c r="FDB167"/>
      <c r="FDC167"/>
      <c r="FDD167"/>
      <c r="FDE167"/>
      <c r="FDF167"/>
      <c r="FDG167"/>
      <c r="FDH167"/>
      <c r="FDI167"/>
      <c r="FDJ167"/>
      <c r="FDK167"/>
      <c r="FDL167"/>
      <c r="FDM167"/>
      <c r="FDN167"/>
      <c r="FDO167"/>
      <c r="FDP167"/>
      <c r="FDQ167"/>
      <c r="FDR167"/>
      <c r="FDS167"/>
      <c r="FDT167"/>
      <c r="FDU167"/>
      <c r="FDV167"/>
      <c r="FDW167"/>
      <c r="FDX167"/>
      <c r="FDY167"/>
      <c r="FDZ167"/>
      <c r="FEA167"/>
      <c r="FEB167"/>
      <c r="FEC167"/>
      <c r="FED167"/>
      <c r="FEE167"/>
      <c r="FEF167"/>
      <c r="FEG167"/>
      <c r="FEH167"/>
      <c r="FEI167"/>
      <c r="FEJ167"/>
      <c r="FEK167"/>
      <c r="FEL167"/>
      <c r="FEM167"/>
      <c r="FEN167"/>
      <c r="FEO167"/>
      <c r="FEP167"/>
      <c r="FEQ167"/>
      <c r="FER167"/>
      <c r="FES167"/>
      <c r="FET167"/>
      <c r="FEU167"/>
      <c r="FEV167"/>
      <c r="FEW167"/>
      <c r="FEX167"/>
      <c r="FEY167"/>
      <c r="FEZ167"/>
      <c r="FFA167"/>
      <c r="FFB167"/>
      <c r="FFC167"/>
      <c r="FFD167"/>
      <c r="FFE167"/>
      <c r="FFF167"/>
      <c r="FFG167"/>
      <c r="FFH167"/>
      <c r="FFI167"/>
      <c r="FFJ167"/>
      <c r="FFK167"/>
      <c r="FFL167"/>
      <c r="FFM167"/>
      <c r="FFN167"/>
      <c r="FFO167"/>
      <c r="FFP167"/>
      <c r="FFQ167"/>
      <c r="FFR167"/>
      <c r="FFS167"/>
      <c r="FFT167"/>
      <c r="FFU167"/>
      <c r="FFV167"/>
      <c r="FFW167"/>
      <c r="FFX167"/>
      <c r="FFY167"/>
      <c r="FFZ167"/>
      <c r="FGA167"/>
      <c r="FGB167"/>
      <c r="FGC167"/>
      <c r="FGD167"/>
      <c r="FGE167"/>
      <c r="FGF167"/>
      <c r="FGG167"/>
      <c r="FGH167"/>
      <c r="FGI167"/>
      <c r="FGJ167"/>
      <c r="FGK167"/>
      <c r="FGL167"/>
      <c r="FGM167"/>
      <c r="FGN167"/>
      <c r="FGO167"/>
      <c r="FGP167"/>
      <c r="FGQ167"/>
      <c r="FGR167"/>
      <c r="FGS167"/>
      <c r="FGT167"/>
      <c r="FGU167"/>
      <c r="FGV167"/>
      <c r="FGW167"/>
      <c r="FGX167"/>
      <c r="FGY167"/>
      <c r="FGZ167"/>
      <c r="FHA167"/>
      <c r="FHB167"/>
      <c r="FHC167"/>
      <c r="FHD167"/>
      <c r="FHE167"/>
      <c r="FHF167"/>
      <c r="FHG167"/>
      <c r="FHH167"/>
      <c r="FHI167"/>
      <c r="FHJ167"/>
      <c r="FHK167"/>
      <c r="FHL167"/>
      <c r="FHM167"/>
      <c r="FHN167"/>
      <c r="FHO167"/>
      <c r="FHP167"/>
      <c r="FHQ167"/>
      <c r="FHR167"/>
      <c r="FHS167"/>
      <c r="FHT167"/>
      <c r="FHU167"/>
      <c r="FHV167"/>
      <c r="FHW167"/>
      <c r="FHX167"/>
      <c r="FHY167"/>
      <c r="FHZ167"/>
      <c r="FIA167"/>
      <c r="FIB167"/>
      <c r="FIC167"/>
      <c r="FID167"/>
      <c r="FIE167"/>
      <c r="FIF167"/>
      <c r="FIG167"/>
      <c r="FIH167"/>
      <c r="FII167"/>
      <c r="FIJ167"/>
      <c r="FIK167"/>
      <c r="FIL167"/>
      <c r="FIM167"/>
      <c r="FIN167"/>
      <c r="FIO167"/>
      <c r="FIP167"/>
      <c r="FIQ167"/>
      <c r="FIR167"/>
      <c r="FIS167"/>
      <c r="FIT167"/>
      <c r="FIU167"/>
      <c r="FIV167"/>
      <c r="FIW167"/>
      <c r="FIX167"/>
      <c r="FIY167"/>
      <c r="FIZ167"/>
      <c r="FJA167"/>
      <c r="FJB167"/>
      <c r="FJC167"/>
      <c r="FJD167"/>
      <c r="FJE167"/>
      <c r="FJF167"/>
      <c r="FJG167"/>
      <c r="FJH167"/>
      <c r="FJI167"/>
      <c r="FJJ167"/>
      <c r="FJK167"/>
      <c r="FJL167"/>
      <c r="FJM167"/>
      <c r="FJN167"/>
      <c r="FJO167"/>
      <c r="FJP167"/>
      <c r="FJQ167"/>
      <c r="FJR167"/>
      <c r="FJS167"/>
      <c r="FJT167"/>
      <c r="FJU167"/>
      <c r="FJV167"/>
      <c r="FJW167"/>
      <c r="FJX167"/>
      <c r="FJY167"/>
      <c r="FJZ167"/>
      <c r="FKA167"/>
      <c r="FKB167"/>
      <c r="FKC167"/>
      <c r="FKD167"/>
      <c r="FKE167"/>
      <c r="FKF167"/>
      <c r="FKG167"/>
      <c r="FKH167"/>
      <c r="FKI167"/>
      <c r="FKJ167"/>
      <c r="FKK167"/>
      <c r="FKL167"/>
      <c r="FKM167"/>
      <c r="FKN167"/>
      <c r="FKO167"/>
      <c r="FKP167"/>
      <c r="FKQ167"/>
      <c r="FKR167"/>
      <c r="FKS167"/>
      <c r="FKT167"/>
      <c r="FKU167"/>
      <c r="FKV167"/>
      <c r="FKW167"/>
      <c r="FKX167"/>
      <c r="FKY167"/>
      <c r="FKZ167"/>
      <c r="FLA167"/>
      <c r="FLB167"/>
      <c r="FLC167"/>
      <c r="FLD167"/>
      <c r="FLE167"/>
      <c r="FLF167"/>
      <c r="FLG167"/>
      <c r="FLH167"/>
      <c r="FLI167"/>
      <c r="FLJ167"/>
      <c r="FLK167"/>
      <c r="FLL167"/>
      <c r="FLM167"/>
      <c r="FLN167"/>
      <c r="FLO167"/>
      <c r="FLP167"/>
      <c r="FLQ167"/>
      <c r="FLR167"/>
      <c r="FLS167"/>
      <c r="FLT167"/>
      <c r="FLU167"/>
      <c r="FLV167"/>
      <c r="FLW167"/>
      <c r="FLX167"/>
      <c r="FLY167"/>
      <c r="FLZ167"/>
      <c r="FMA167"/>
      <c r="FMB167"/>
      <c r="FMC167"/>
      <c r="FMD167"/>
      <c r="FME167"/>
      <c r="FMF167"/>
      <c r="FMG167"/>
      <c r="FMH167"/>
      <c r="FMI167"/>
      <c r="FMJ167"/>
      <c r="FMK167"/>
      <c r="FML167"/>
      <c r="FMM167"/>
      <c r="FMN167"/>
      <c r="FMO167"/>
      <c r="FMP167"/>
      <c r="FMQ167"/>
      <c r="FMR167"/>
      <c r="FMS167"/>
      <c r="FMT167"/>
      <c r="FMU167"/>
      <c r="FMV167"/>
      <c r="FMW167"/>
      <c r="FMX167"/>
      <c r="FMY167"/>
      <c r="FMZ167"/>
      <c r="FNA167"/>
      <c r="FNB167"/>
      <c r="FNC167"/>
      <c r="FND167"/>
      <c r="FNE167"/>
      <c r="FNF167"/>
      <c r="FNG167"/>
      <c r="FNH167"/>
      <c r="FNI167"/>
      <c r="FNJ167"/>
      <c r="FNK167"/>
      <c r="FNL167"/>
      <c r="FNM167"/>
      <c r="FNN167"/>
      <c r="FNO167"/>
      <c r="FNP167"/>
      <c r="FNQ167"/>
      <c r="FNR167"/>
      <c r="FNS167"/>
      <c r="FNT167"/>
      <c r="FNU167"/>
      <c r="FNV167"/>
      <c r="FNW167"/>
      <c r="FNX167"/>
      <c r="FNY167"/>
      <c r="FNZ167"/>
      <c r="FOA167"/>
      <c r="FOB167"/>
      <c r="FOC167"/>
      <c r="FOD167"/>
      <c r="FOE167"/>
      <c r="FOF167"/>
      <c r="FOG167"/>
      <c r="FOH167"/>
      <c r="FOI167"/>
      <c r="FOJ167"/>
      <c r="FOK167"/>
      <c r="FOL167"/>
      <c r="FOM167"/>
      <c r="FON167"/>
      <c r="FOO167"/>
      <c r="FOP167"/>
      <c r="FOQ167"/>
      <c r="FOR167"/>
      <c r="FOS167"/>
      <c r="FOT167"/>
      <c r="FOU167"/>
      <c r="FOV167"/>
      <c r="FOW167"/>
      <c r="FOX167"/>
      <c r="FOY167"/>
      <c r="FOZ167"/>
      <c r="FPA167"/>
      <c r="FPB167"/>
      <c r="FPC167"/>
      <c r="FPD167"/>
      <c r="FPE167"/>
      <c r="FPF167"/>
      <c r="FPG167"/>
      <c r="FPH167"/>
      <c r="FPI167"/>
      <c r="FPJ167"/>
      <c r="FPK167"/>
      <c r="FPL167"/>
      <c r="FPM167"/>
      <c r="FPN167"/>
      <c r="FPO167"/>
      <c r="FPP167"/>
      <c r="FPQ167"/>
      <c r="FPR167"/>
      <c r="FPS167"/>
      <c r="FPT167"/>
      <c r="FPU167"/>
      <c r="FPV167"/>
      <c r="FPW167"/>
      <c r="FPX167"/>
      <c r="FPY167"/>
      <c r="FPZ167"/>
      <c r="FQA167"/>
      <c r="FQB167"/>
      <c r="FQC167"/>
      <c r="FQD167"/>
      <c r="FQE167"/>
      <c r="FQF167"/>
      <c r="FQG167"/>
      <c r="FQH167"/>
      <c r="FQI167"/>
      <c r="FQJ167"/>
      <c r="FQK167"/>
      <c r="FQL167"/>
      <c r="FQM167"/>
      <c r="FQN167"/>
      <c r="FQO167"/>
      <c r="FQP167"/>
      <c r="FQQ167"/>
      <c r="FQR167"/>
      <c r="FQS167"/>
      <c r="FQT167"/>
      <c r="FQU167"/>
      <c r="FQV167"/>
      <c r="FQW167"/>
      <c r="FQX167"/>
      <c r="FQY167"/>
      <c r="FQZ167"/>
      <c r="FRA167"/>
      <c r="FRB167"/>
      <c r="FRC167"/>
      <c r="FRD167"/>
      <c r="FRE167"/>
      <c r="FRF167"/>
      <c r="FRG167"/>
      <c r="FRH167"/>
      <c r="FRI167"/>
      <c r="FRJ167"/>
      <c r="FRK167"/>
      <c r="FRL167"/>
      <c r="FRM167"/>
      <c r="FRN167"/>
      <c r="FRO167"/>
      <c r="FRP167"/>
      <c r="FRQ167"/>
      <c r="FRR167"/>
      <c r="FRS167"/>
      <c r="FRT167"/>
      <c r="FRU167"/>
      <c r="FRV167"/>
      <c r="FRW167"/>
      <c r="FRX167"/>
      <c r="FRY167"/>
      <c r="FRZ167"/>
      <c r="FSA167"/>
      <c r="FSB167"/>
      <c r="FSC167"/>
      <c r="FSD167"/>
      <c r="FSE167"/>
      <c r="FSF167"/>
      <c r="FSG167"/>
      <c r="FSH167"/>
      <c r="FSI167"/>
      <c r="FSJ167"/>
      <c r="FSK167"/>
      <c r="FSL167"/>
      <c r="FSM167"/>
      <c r="FSN167"/>
      <c r="FSO167"/>
      <c r="FSP167"/>
      <c r="FSQ167"/>
      <c r="FSR167"/>
      <c r="FSS167"/>
      <c r="FST167"/>
      <c r="FSU167"/>
      <c r="FSV167"/>
      <c r="FSW167"/>
      <c r="FSX167"/>
      <c r="FSY167"/>
      <c r="FSZ167"/>
      <c r="FTA167"/>
      <c r="FTB167"/>
      <c r="FTC167"/>
      <c r="FTD167"/>
      <c r="FTE167"/>
      <c r="FTF167"/>
      <c r="FTG167"/>
      <c r="FTH167"/>
      <c r="FTI167"/>
      <c r="FTJ167"/>
      <c r="FTK167"/>
      <c r="FTL167"/>
      <c r="FTM167"/>
      <c r="FTN167"/>
      <c r="FTO167"/>
      <c r="FTP167"/>
      <c r="FTQ167"/>
      <c r="FTR167"/>
      <c r="FTS167"/>
      <c r="FTT167"/>
      <c r="FTU167"/>
      <c r="FTV167"/>
      <c r="FTW167"/>
      <c r="FTX167"/>
      <c r="FTY167"/>
      <c r="FTZ167"/>
      <c r="FUA167"/>
      <c r="FUB167"/>
      <c r="FUC167"/>
      <c r="FUD167"/>
      <c r="FUE167"/>
      <c r="FUF167"/>
      <c r="FUG167"/>
      <c r="FUH167"/>
      <c r="FUI167"/>
      <c r="FUJ167"/>
      <c r="FUK167"/>
      <c r="FUL167"/>
      <c r="FUM167"/>
      <c r="FUN167"/>
      <c r="FUO167"/>
      <c r="FUP167"/>
      <c r="FUQ167"/>
      <c r="FUR167"/>
      <c r="FUS167"/>
      <c r="FUT167"/>
      <c r="FUU167"/>
      <c r="FUV167"/>
      <c r="FUW167"/>
      <c r="FUX167"/>
      <c r="FUY167"/>
      <c r="FUZ167"/>
      <c r="FVA167"/>
      <c r="FVB167"/>
      <c r="FVC167"/>
      <c r="FVD167"/>
      <c r="FVE167"/>
      <c r="FVF167"/>
      <c r="FVG167"/>
      <c r="FVH167"/>
      <c r="FVI167"/>
      <c r="FVJ167"/>
      <c r="FVK167"/>
      <c r="FVL167"/>
      <c r="FVM167"/>
      <c r="FVN167"/>
      <c r="FVO167"/>
      <c r="FVP167"/>
      <c r="FVQ167"/>
      <c r="FVR167"/>
      <c r="FVS167"/>
      <c r="FVT167"/>
      <c r="FVU167"/>
      <c r="FVV167"/>
      <c r="FVW167"/>
      <c r="FVX167"/>
      <c r="FVY167"/>
      <c r="FVZ167"/>
      <c r="FWA167"/>
      <c r="FWB167"/>
      <c r="FWC167"/>
      <c r="FWD167"/>
      <c r="FWE167"/>
      <c r="FWF167"/>
      <c r="FWG167"/>
      <c r="FWH167"/>
      <c r="FWI167"/>
      <c r="FWJ167"/>
      <c r="FWK167"/>
      <c r="FWL167"/>
      <c r="FWM167"/>
      <c r="FWN167"/>
      <c r="FWO167"/>
      <c r="FWP167"/>
      <c r="FWQ167"/>
      <c r="FWR167"/>
      <c r="FWS167"/>
      <c r="FWT167"/>
      <c r="FWU167"/>
      <c r="FWV167"/>
      <c r="FWW167"/>
      <c r="FWX167"/>
      <c r="FWY167"/>
      <c r="FWZ167"/>
      <c r="FXA167"/>
      <c r="FXB167"/>
      <c r="FXC167"/>
      <c r="FXD167"/>
      <c r="FXE167"/>
      <c r="FXF167"/>
      <c r="FXG167"/>
      <c r="FXH167"/>
      <c r="FXI167"/>
      <c r="FXJ167"/>
      <c r="FXK167"/>
      <c r="FXL167"/>
      <c r="FXM167"/>
      <c r="FXN167"/>
      <c r="FXO167"/>
      <c r="FXP167"/>
      <c r="FXQ167"/>
      <c r="FXR167"/>
      <c r="FXS167"/>
      <c r="FXT167"/>
      <c r="FXU167"/>
      <c r="FXV167"/>
      <c r="FXW167"/>
      <c r="FXX167"/>
      <c r="FXY167"/>
      <c r="FXZ167"/>
      <c r="FYA167"/>
      <c r="FYB167"/>
      <c r="FYC167"/>
      <c r="FYD167"/>
      <c r="FYE167"/>
      <c r="FYF167"/>
      <c r="FYG167"/>
      <c r="FYH167"/>
      <c r="FYI167"/>
      <c r="FYJ167"/>
      <c r="FYK167"/>
      <c r="FYL167"/>
      <c r="FYM167"/>
      <c r="FYN167"/>
      <c r="FYO167"/>
      <c r="FYP167"/>
      <c r="FYQ167"/>
      <c r="FYR167"/>
      <c r="FYS167"/>
      <c r="FYT167"/>
      <c r="FYU167"/>
      <c r="FYV167"/>
      <c r="FYW167"/>
      <c r="FYX167"/>
      <c r="FYY167"/>
      <c r="FYZ167"/>
      <c r="FZA167"/>
      <c r="FZB167"/>
      <c r="FZC167"/>
      <c r="FZD167"/>
      <c r="FZE167"/>
      <c r="FZF167"/>
      <c r="FZG167"/>
      <c r="FZH167"/>
      <c r="FZI167"/>
      <c r="FZJ167"/>
      <c r="FZK167"/>
      <c r="FZL167"/>
      <c r="FZM167"/>
      <c r="FZN167"/>
      <c r="FZO167"/>
      <c r="FZP167"/>
      <c r="FZQ167"/>
      <c r="FZR167"/>
      <c r="FZS167"/>
      <c r="FZT167"/>
      <c r="FZU167"/>
      <c r="FZV167"/>
      <c r="FZW167"/>
      <c r="FZX167"/>
      <c r="FZY167"/>
      <c r="FZZ167"/>
      <c r="GAA167"/>
      <c r="GAB167"/>
      <c r="GAC167"/>
      <c r="GAD167"/>
      <c r="GAE167"/>
      <c r="GAF167"/>
      <c r="GAG167"/>
      <c r="GAH167"/>
      <c r="GAI167"/>
      <c r="GAJ167"/>
      <c r="GAK167"/>
      <c r="GAL167"/>
      <c r="GAM167"/>
      <c r="GAN167"/>
      <c r="GAO167"/>
      <c r="GAP167"/>
      <c r="GAQ167"/>
      <c r="GAR167"/>
      <c r="GAS167"/>
      <c r="GAT167"/>
      <c r="GAU167"/>
      <c r="GAV167"/>
      <c r="GAW167"/>
      <c r="GAX167"/>
      <c r="GAY167"/>
      <c r="GAZ167"/>
      <c r="GBA167"/>
      <c r="GBB167"/>
      <c r="GBC167"/>
      <c r="GBD167"/>
      <c r="GBE167"/>
      <c r="GBF167"/>
      <c r="GBG167"/>
      <c r="GBH167"/>
      <c r="GBI167"/>
      <c r="GBJ167"/>
      <c r="GBK167"/>
      <c r="GBL167"/>
      <c r="GBM167"/>
      <c r="GBN167"/>
      <c r="GBO167"/>
      <c r="GBP167"/>
      <c r="GBQ167"/>
      <c r="GBR167"/>
      <c r="GBS167"/>
      <c r="GBT167"/>
      <c r="GBU167"/>
      <c r="GBV167"/>
      <c r="GBW167"/>
      <c r="GBX167"/>
      <c r="GBY167"/>
      <c r="GBZ167"/>
      <c r="GCA167"/>
      <c r="GCB167"/>
      <c r="GCC167"/>
      <c r="GCD167"/>
      <c r="GCE167"/>
      <c r="GCF167"/>
      <c r="GCG167"/>
      <c r="GCH167"/>
      <c r="GCI167"/>
      <c r="GCJ167"/>
      <c r="GCK167"/>
      <c r="GCL167"/>
      <c r="GCM167"/>
      <c r="GCN167"/>
      <c r="GCO167"/>
      <c r="GCP167"/>
      <c r="GCQ167"/>
      <c r="GCR167"/>
      <c r="GCS167"/>
      <c r="GCT167"/>
      <c r="GCU167"/>
      <c r="GCV167"/>
      <c r="GCW167"/>
      <c r="GCX167"/>
      <c r="GCY167"/>
      <c r="GCZ167"/>
      <c r="GDA167"/>
      <c r="GDB167"/>
      <c r="GDC167"/>
      <c r="GDD167"/>
      <c r="GDE167"/>
      <c r="GDF167"/>
      <c r="GDG167"/>
      <c r="GDH167"/>
      <c r="GDI167"/>
      <c r="GDJ167"/>
      <c r="GDK167"/>
      <c r="GDL167"/>
      <c r="GDM167"/>
      <c r="GDN167"/>
      <c r="GDO167"/>
      <c r="GDP167"/>
      <c r="GDQ167"/>
      <c r="GDR167"/>
      <c r="GDS167"/>
      <c r="GDT167"/>
      <c r="GDU167"/>
      <c r="GDV167"/>
      <c r="GDW167"/>
      <c r="GDX167"/>
      <c r="GDY167"/>
      <c r="GDZ167"/>
      <c r="GEA167"/>
      <c r="GEB167"/>
      <c r="GEC167"/>
      <c r="GED167"/>
      <c r="GEE167"/>
      <c r="GEF167"/>
      <c r="GEG167"/>
      <c r="GEH167"/>
      <c r="GEI167"/>
      <c r="GEJ167"/>
      <c r="GEK167"/>
      <c r="GEL167"/>
      <c r="GEM167"/>
      <c r="GEN167"/>
      <c r="GEO167"/>
      <c r="GEP167"/>
      <c r="GEQ167"/>
      <c r="GER167"/>
      <c r="GES167"/>
      <c r="GET167"/>
      <c r="GEU167"/>
      <c r="GEV167"/>
      <c r="GEW167"/>
      <c r="GEX167"/>
      <c r="GEY167"/>
      <c r="GEZ167"/>
      <c r="GFA167"/>
      <c r="GFB167"/>
      <c r="GFC167"/>
      <c r="GFD167"/>
      <c r="GFE167"/>
      <c r="GFF167"/>
      <c r="GFG167"/>
      <c r="GFH167"/>
      <c r="GFI167"/>
      <c r="GFJ167"/>
      <c r="GFK167"/>
      <c r="GFL167"/>
      <c r="GFM167"/>
      <c r="GFN167"/>
      <c r="GFO167"/>
      <c r="GFP167"/>
      <c r="GFQ167"/>
      <c r="GFR167"/>
      <c r="GFS167"/>
      <c r="GFT167"/>
      <c r="GFU167"/>
      <c r="GFV167"/>
      <c r="GFW167"/>
      <c r="GFX167"/>
      <c r="GFY167"/>
      <c r="GFZ167"/>
      <c r="GGA167"/>
      <c r="GGB167"/>
      <c r="GGC167"/>
      <c r="GGD167"/>
      <c r="GGE167"/>
      <c r="GGF167"/>
      <c r="GGG167"/>
      <c r="GGH167"/>
      <c r="GGI167"/>
      <c r="GGJ167"/>
      <c r="GGK167"/>
      <c r="GGL167"/>
      <c r="GGM167"/>
      <c r="GGN167"/>
      <c r="GGO167"/>
      <c r="GGP167"/>
      <c r="GGQ167"/>
      <c r="GGR167"/>
      <c r="GGS167"/>
      <c r="GGT167"/>
      <c r="GGU167"/>
      <c r="GGV167"/>
      <c r="GGW167"/>
      <c r="GGX167"/>
      <c r="GGY167"/>
      <c r="GGZ167"/>
      <c r="GHA167"/>
      <c r="GHB167"/>
      <c r="GHC167"/>
      <c r="GHD167"/>
      <c r="GHE167"/>
      <c r="GHF167"/>
      <c r="GHG167"/>
      <c r="GHH167"/>
      <c r="GHI167"/>
      <c r="GHJ167"/>
      <c r="GHK167"/>
      <c r="GHL167"/>
      <c r="GHM167"/>
      <c r="GHN167"/>
      <c r="GHO167"/>
      <c r="GHP167"/>
      <c r="GHQ167"/>
      <c r="GHR167"/>
      <c r="GHS167"/>
      <c r="GHT167"/>
      <c r="GHU167"/>
      <c r="GHV167"/>
      <c r="GHW167"/>
      <c r="GHX167"/>
      <c r="GHY167"/>
      <c r="GHZ167"/>
      <c r="GIA167"/>
      <c r="GIB167"/>
      <c r="GIC167"/>
      <c r="GID167"/>
      <c r="GIE167"/>
      <c r="GIF167"/>
      <c r="GIG167"/>
      <c r="GIH167"/>
      <c r="GII167"/>
      <c r="GIJ167"/>
      <c r="GIK167"/>
      <c r="GIL167"/>
      <c r="GIM167"/>
      <c r="GIN167"/>
      <c r="GIO167"/>
      <c r="GIP167"/>
      <c r="GIQ167"/>
      <c r="GIR167"/>
      <c r="GIS167"/>
      <c r="GIT167"/>
      <c r="GIU167"/>
      <c r="GIV167"/>
      <c r="GIW167"/>
      <c r="GIX167"/>
      <c r="GIY167"/>
      <c r="GIZ167"/>
      <c r="GJA167"/>
      <c r="GJB167"/>
      <c r="GJC167"/>
      <c r="GJD167"/>
      <c r="GJE167"/>
      <c r="GJF167"/>
      <c r="GJG167"/>
      <c r="GJH167"/>
      <c r="GJI167"/>
      <c r="GJJ167"/>
      <c r="GJK167"/>
      <c r="GJL167"/>
      <c r="GJM167"/>
      <c r="GJN167"/>
      <c r="GJO167"/>
      <c r="GJP167"/>
      <c r="GJQ167"/>
      <c r="GJR167"/>
      <c r="GJS167"/>
      <c r="GJT167"/>
      <c r="GJU167"/>
      <c r="GJV167"/>
      <c r="GJW167"/>
      <c r="GJX167"/>
      <c r="GJY167"/>
      <c r="GJZ167"/>
      <c r="GKA167"/>
      <c r="GKB167"/>
      <c r="GKC167"/>
      <c r="GKD167"/>
      <c r="GKE167"/>
      <c r="GKF167"/>
      <c r="GKG167"/>
      <c r="GKH167"/>
      <c r="GKI167"/>
      <c r="GKJ167"/>
      <c r="GKK167"/>
      <c r="GKL167"/>
      <c r="GKM167"/>
      <c r="GKN167"/>
      <c r="GKO167"/>
      <c r="GKP167"/>
      <c r="GKQ167"/>
      <c r="GKR167"/>
      <c r="GKS167"/>
      <c r="GKT167"/>
      <c r="GKU167"/>
      <c r="GKV167"/>
      <c r="GKW167"/>
      <c r="GKX167"/>
      <c r="GKY167"/>
      <c r="GKZ167"/>
      <c r="GLA167"/>
      <c r="GLB167"/>
      <c r="GLC167"/>
      <c r="GLD167"/>
      <c r="GLE167"/>
      <c r="GLF167"/>
      <c r="GLG167"/>
      <c r="GLH167"/>
      <c r="GLI167"/>
      <c r="GLJ167"/>
      <c r="GLK167"/>
      <c r="GLL167"/>
      <c r="GLM167"/>
      <c r="GLN167"/>
      <c r="GLO167"/>
      <c r="GLP167"/>
      <c r="GLQ167"/>
      <c r="GLR167"/>
      <c r="GLS167"/>
      <c r="GLT167"/>
      <c r="GLU167"/>
      <c r="GLV167"/>
      <c r="GLW167"/>
      <c r="GLX167"/>
      <c r="GLY167"/>
      <c r="GLZ167"/>
      <c r="GMA167"/>
      <c r="GMB167"/>
      <c r="GMC167"/>
      <c r="GMD167"/>
      <c r="GME167"/>
      <c r="GMF167"/>
      <c r="GMG167"/>
      <c r="GMH167"/>
      <c r="GMI167"/>
      <c r="GMJ167"/>
      <c r="GMK167"/>
      <c r="GML167"/>
      <c r="GMM167"/>
      <c r="GMN167"/>
      <c r="GMO167"/>
      <c r="GMP167"/>
      <c r="GMQ167"/>
      <c r="GMR167"/>
      <c r="GMS167"/>
      <c r="GMT167"/>
      <c r="GMU167"/>
      <c r="GMV167"/>
      <c r="GMW167"/>
      <c r="GMX167"/>
      <c r="GMY167"/>
      <c r="GMZ167"/>
      <c r="GNA167"/>
      <c r="GNB167"/>
      <c r="GNC167"/>
      <c r="GND167"/>
      <c r="GNE167"/>
      <c r="GNF167"/>
      <c r="GNG167"/>
      <c r="GNH167"/>
      <c r="GNI167"/>
      <c r="GNJ167"/>
      <c r="GNK167"/>
      <c r="GNL167"/>
      <c r="GNM167"/>
      <c r="GNN167"/>
      <c r="GNO167"/>
      <c r="GNP167"/>
      <c r="GNQ167"/>
      <c r="GNR167"/>
      <c r="GNS167"/>
      <c r="GNT167"/>
      <c r="GNU167"/>
      <c r="GNV167"/>
      <c r="GNW167"/>
      <c r="GNX167"/>
      <c r="GNY167"/>
      <c r="GNZ167"/>
      <c r="GOA167"/>
      <c r="GOB167"/>
      <c r="GOC167"/>
      <c r="GOD167"/>
      <c r="GOE167"/>
      <c r="GOF167"/>
      <c r="GOG167"/>
      <c r="GOH167"/>
      <c r="GOI167"/>
      <c r="GOJ167"/>
      <c r="GOK167"/>
      <c r="GOL167"/>
      <c r="GOM167"/>
      <c r="GON167"/>
      <c r="GOO167"/>
      <c r="GOP167"/>
      <c r="GOQ167"/>
      <c r="GOR167"/>
      <c r="GOS167"/>
      <c r="GOT167"/>
      <c r="GOU167"/>
      <c r="GOV167"/>
      <c r="GOW167"/>
      <c r="GOX167"/>
      <c r="GOY167"/>
      <c r="GOZ167"/>
      <c r="GPA167"/>
      <c r="GPB167"/>
      <c r="GPC167"/>
      <c r="GPD167"/>
      <c r="GPE167"/>
      <c r="GPF167"/>
      <c r="GPG167"/>
      <c r="GPH167"/>
      <c r="GPI167"/>
      <c r="GPJ167"/>
      <c r="GPK167"/>
      <c r="GPL167"/>
      <c r="GPM167"/>
      <c r="GPN167"/>
      <c r="GPO167"/>
      <c r="GPP167"/>
      <c r="GPQ167"/>
      <c r="GPR167"/>
      <c r="GPS167"/>
      <c r="GPT167"/>
      <c r="GPU167"/>
      <c r="GPV167"/>
      <c r="GPW167"/>
      <c r="GPX167"/>
      <c r="GPY167"/>
      <c r="GPZ167"/>
      <c r="GQA167"/>
      <c r="GQB167"/>
      <c r="GQC167"/>
      <c r="GQD167"/>
      <c r="GQE167"/>
      <c r="GQF167"/>
      <c r="GQG167"/>
      <c r="GQH167"/>
      <c r="GQI167"/>
      <c r="GQJ167"/>
      <c r="GQK167"/>
      <c r="GQL167"/>
      <c r="GQM167"/>
      <c r="GQN167"/>
      <c r="GQO167"/>
      <c r="GQP167"/>
      <c r="GQQ167"/>
      <c r="GQR167"/>
      <c r="GQS167"/>
      <c r="GQT167"/>
      <c r="GQU167"/>
      <c r="GQV167"/>
      <c r="GQW167"/>
      <c r="GQX167"/>
      <c r="GQY167"/>
      <c r="GQZ167"/>
      <c r="GRA167"/>
      <c r="GRB167"/>
      <c r="GRC167"/>
      <c r="GRD167"/>
      <c r="GRE167"/>
      <c r="GRF167"/>
      <c r="GRG167"/>
      <c r="GRH167"/>
      <c r="GRI167"/>
      <c r="GRJ167"/>
      <c r="GRK167"/>
      <c r="GRL167"/>
      <c r="GRM167"/>
      <c r="GRN167"/>
      <c r="GRO167"/>
      <c r="GRP167"/>
      <c r="GRQ167"/>
      <c r="GRR167"/>
      <c r="GRS167"/>
      <c r="GRT167"/>
      <c r="GRU167"/>
      <c r="GRV167"/>
      <c r="GRW167"/>
      <c r="GRX167"/>
      <c r="GRY167"/>
      <c r="GRZ167"/>
      <c r="GSA167"/>
      <c r="GSB167"/>
      <c r="GSC167"/>
      <c r="GSD167"/>
      <c r="GSE167"/>
      <c r="GSF167"/>
      <c r="GSG167"/>
      <c r="GSH167"/>
      <c r="GSI167"/>
      <c r="GSJ167"/>
      <c r="GSK167"/>
      <c r="GSL167"/>
      <c r="GSM167"/>
      <c r="GSN167"/>
      <c r="GSO167"/>
      <c r="GSP167"/>
      <c r="GSQ167"/>
      <c r="GSR167"/>
      <c r="GSS167"/>
      <c r="GST167"/>
      <c r="GSU167"/>
      <c r="GSV167"/>
      <c r="GSW167"/>
      <c r="GSX167"/>
      <c r="GSY167"/>
      <c r="GSZ167"/>
      <c r="GTA167"/>
      <c r="GTB167"/>
      <c r="GTC167"/>
      <c r="GTD167"/>
      <c r="GTE167"/>
      <c r="GTF167"/>
      <c r="GTG167"/>
      <c r="GTH167"/>
      <c r="GTI167"/>
      <c r="GTJ167"/>
      <c r="GTK167"/>
      <c r="GTL167"/>
      <c r="GTM167"/>
      <c r="GTN167"/>
      <c r="GTO167"/>
      <c r="GTP167"/>
      <c r="GTQ167"/>
      <c r="GTR167"/>
      <c r="GTS167"/>
      <c r="GTT167"/>
      <c r="GTU167"/>
      <c r="GTV167"/>
      <c r="GTW167"/>
      <c r="GTX167"/>
      <c r="GTY167"/>
      <c r="GTZ167"/>
      <c r="GUA167"/>
      <c r="GUB167"/>
      <c r="GUC167"/>
      <c r="GUD167"/>
      <c r="GUE167"/>
      <c r="GUF167"/>
      <c r="GUG167"/>
      <c r="GUH167"/>
      <c r="GUI167"/>
      <c r="GUJ167"/>
      <c r="GUK167"/>
      <c r="GUL167"/>
      <c r="GUM167"/>
      <c r="GUN167"/>
      <c r="GUO167"/>
      <c r="GUP167"/>
      <c r="GUQ167"/>
      <c r="GUR167"/>
      <c r="GUS167"/>
      <c r="GUT167"/>
      <c r="GUU167"/>
      <c r="GUV167"/>
      <c r="GUW167"/>
      <c r="GUX167"/>
      <c r="GUY167"/>
      <c r="GUZ167"/>
      <c r="GVA167"/>
      <c r="GVB167"/>
      <c r="GVC167"/>
      <c r="GVD167"/>
      <c r="GVE167"/>
      <c r="GVF167"/>
      <c r="GVG167"/>
      <c r="GVH167"/>
      <c r="GVI167"/>
      <c r="GVJ167"/>
      <c r="GVK167"/>
      <c r="GVL167"/>
      <c r="GVM167"/>
      <c r="GVN167"/>
      <c r="GVO167"/>
      <c r="GVP167"/>
      <c r="GVQ167"/>
      <c r="GVR167"/>
      <c r="GVS167"/>
      <c r="GVT167"/>
      <c r="GVU167"/>
      <c r="GVV167"/>
      <c r="GVW167"/>
      <c r="GVX167"/>
      <c r="GVY167"/>
      <c r="GVZ167"/>
      <c r="GWA167"/>
      <c r="GWB167"/>
      <c r="GWC167"/>
      <c r="GWD167"/>
      <c r="GWE167"/>
      <c r="GWF167"/>
      <c r="GWG167"/>
      <c r="GWH167"/>
      <c r="GWI167"/>
      <c r="GWJ167"/>
      <c r="GWK167"/>
      <c r="GWL167"/>
      <c r="GWM167"/>
      <c r="GWN167"/>
      <c r="GWO167"/>
      <c r="GWP167"/>
      <c r="GWQ167"/>
      <c r="GWR167"/>
      <c r="GWS167"/>
      <c r="GWT167"/>
      <c r="GWU167"/>
      <c r="GWV167"/>
      <c r="GWW167"/>
      <c r="GWX167"/>
      <c r="GWY167"/>
      <c r="GWZ167"/>
      <c r="GXA167"/>
      <c r="GXB167"/>
      <c r="GXC167"/>
      <c r="GXD167"/>
      <c r="GXE167"/>
      <c r="GXF167"/>
      <c r="GXG167"/>
      <c r="GXH167"/>
      <c r="GXI167"/>
      <c r="GXJ167"/>
      <c r="GXK167"/>
      <c r="GXL167"/>
      <c r="GXM167"/>
      <c r="GXN167"/>
      <c r="GXO167"/>
      <c r="GXP167"/>
      <c r="GXQ167"/>
      <c r="GXR167"/>
      <c r="GXS167"/>
      <c r="GXT167"/>
      <c r="GXU167"/>
      <c r="GXV167"/>
      <c r="GXW167"/>
      <c r="GXX167"/>
      <c r="GXY167"/>
      <c r="GXZ167"/>
      <c r="GYA167"/>
      <c r="GYB167"/>
      <c r="GYC167"/>
      <c r="GYD167"/>
      <c r="GYE167"/>
      <c r="GYF167"/>
      <c r="GYG167"/>
      <c r="GYH167"/>
      <c r="GYI167"/>
      <c r="GYJ167"/>
      <c r="GYK167"/>
      <c r="GYL167"/>
      <c r="GYM167"/>
      <c r="GYN167"/>
      <c r="GYO167"/>
      <c r="GYP167"/>
      <c r="GYQ167"/>
      <c r="GYR167"/>
      <c r="GYS167"/>
      <c r="GYT167"/>
      <c r="GYU167"/>
      <c r="GYV167"/>
      <c r="GYW167"/>
      <c r="GYX167"/>
      <c r="GYY167"/>
      <c r="GYZ167"/>
      <c r="GZA167"/>
      <c r="GZB167"/>
      <c r="GZC167"/>
      <c r="GZD167"/>
      <c r="GZE167"/>
      <c r="GZF167"/>
      <c r="GZG167"/>
      <c r="GZH167"/>
      <c r="GZI167"/>
      <c r="GZJ167"/>
      <c r="GZK167"/>
      <c r="GZL167"/>
      <c r="GZM167"/>
      <c r="GZN167"/>
      <c r="GZO167"/>
      <c r="GZP167"/>
      <c r="GZQ167"/>
      <c r="GZR167"/>
      <c r="GZS167"/>
      <c r="GZT167"/>
      <c r="GZU167"/>
      <c r="GZV167"/>
      <c r="GZW167"/>
      <c r="GZX167"/>
      <c r="GZY167"/>
      <c r="GZZ167"/>
      <c r="HAA167"/>
      <c r="HAB167"/>
      <c r="HAC167"/>
      <c r="HAD167"/>
      <c r="HAE167"/>
      <c r="HAF167"/>
      <c r="HAG167"/>
      <c r="HAH167"/>
      <c r="HAI167"/>
      <c r="HAJ167"/>
      <c r="HAK167"/>
      <c r="HAL167"/>
      <c r="HAM167"/>
      <c r="HAN167"/>
      <c r="HAO167"/>
      <c r="HAP167"/>
      <c r="HAQ167"/>
      <c r="HAR167"/>
      <c r="HAS167"/>
      <c r="HAT167"/>
      <c r="HAU167"/>
      <c r="HAV167"/>
      <c r="HAW167"/>
      <c r="HAX167"/>
      <c r="HAY167"/>
      <c r="HAZ167"/>
      <c r="HBA167"/>
      <c r="HBB167"/>
      <c r="HBC167"/>
      <c r="HBD167"/>
      <c r="HBE167"/>
      <c r="HBF167"/>
      <c r="HBG167"/>
      <c r="HBH167"/>
      <c r="HBI167"/>
      <c r="HBJ167"/>
      <c r="HBK167"/>
      <c r="HBL167"/>
      <c r="HBM167"/>
      <c r="HBN167"/>
      <c r="HBO167"/>
      <c r="HBP167"/>
      <c r="HBQ167"/>
      <c r="HBR167"/>
      <c r="HBS167"/>
      <c r="HBT167"/>
      <c r="HBU167"/>
      <c r="HBV167"/>
      <c r="HBW167"/>
      <c r="HBX167"/>
      <c r="HBY167"/>
      <c r="HBZ167"/>
      <c r="HCA167"/>
      <c r="HCB167"/>
      <c r="HCC167"/>
      <c r="HCD167"/>
      <c r="HCE167"/>
      <c r="HCF167"/>
      <c r="HCG167"/>
      <c r="HCH167"/>
      <c r="HCI167"/>
      <c r="HCJ167"/>
      <c r="HCK167"/>
      <c r="HCL167"/>
      <c r="HCM167"/>
      <c r="HCN167"/>
      <c r="HCO167"/>
      <c r="HCP167"/>
      <c r="HCQ167"/>
      <c r="HCR167"/>
      <c r="HCS167"/>
      <c r="HCT167"/>
      <c r="HCU167"/>
      <c r="HCV167"/>
      <c r="HCW167"/>
      <c r="HCX167"/>
      <c r="HCY167"/>
      <c r="HCZ167"/>
      <c r="HDA167"/>
      <c r="HDB167"/>
      <c r="HDC167"/>
      <c r="HDD167"/>
      <c r="HDE167"/>
      <c r="HDF167"/>
      <c r="HDG167"/>
      <c r="HDH167"/>
      <c r="HDI167"/>
      <c r="HDJ167"/>
      <c r="HDK167"/>
      <c r="HDL167"/>
      <c r="HDM167"/>
      <c r="HDN167"/>
      <c r="HDO167"/>
      <c r="HDP167"/>
      <c r="HDQ167"/>
      <c r="HDR167"/>
      <c r="HDS167"/>
      <c r="HDT167"/>
      <c r="HDU167"/>
      <c r="HDV167"/>
      <c r="HDW167"/>
      <c r="HDX167"/>
      <c r="HDY167"/>
      <c r="HDZ167"/>
      <c r="HEA167"/>
      <c r="HEB167"/>
      <c r="HEC167"/>
      <c r="HED167"/>
      <c r="HEE167"/>
      <c r="HEF167"/>
      <c r="HEG167"/>
      <c r="HEH167"/>
      <c r="HEI167"/>
      <c r="HEJ167"/>
      <c r="HEK167"/>
      <c r="HEL167"/>
      <c r="HEM167"/>
      <c r="HEN167"/>
      <c r="HEO167"/>
      <c r="HEP167"/>
      <c r="HEQ167"/>
      <c r="HER167"/>
      <c r="HES167"/>
      <c r="HET167"/>
      <c r="HEU167"/>
      <c r="HEV167"/>
      <c r="HEW167"/>
      <c r="HEX167"/>
      <c r="HEY167"/>
      <c r="HEZ167"/>
      <c r="HFA167"/>
      <c r="HFB167"/>
      <c r="HFC167"/>
      <c r="HFD167"/>
      <c r="HFE167"/>
      <c r="HFF167"/>
      <c r="HFG167"/>
      <c r="HFH167"/>
      <c r="HFI167"/>
      <c r="HFJ167"/>
      <c r="HFK167"/>
      <c r="HFL167"/>
      <c r="HFM167"/>
      <c r="HFN167"/>
      <c r="HFO167"/>
      <c r="HFP167"/>
      <c r="HFQ167"/>
      <c r="HFR167"/>
      <c r="HFS167"/>
      <c r="HFT167"/>
      <c r="HFU167"/>
      <c r="HFV167"/>
      <c r="HFW167"/>
      <c r="HFX167"/>
      <c r="HFY167"/>
      <c r="HFZ167"/>
      <c r="HGA167"/>
      <c r="HGB167"/>
      <c r="HGC167"/>
      <c r="HGD167"/>
      <c r="HGE167"/>
      <c r="HGF167"/>
      <c r="HGG167"/>
      <c r="HGH167"/>
      <c r="HGI167"/>
      <c r="HGJ167"/>
      <c r="HGK167"/>
      <c r="HGL167"/>
      <c r="HGM167"/>
      <c r="HGN167"/>
      <c r="HGO167"/>
      <c r="HGP167"/>
      <c r="HGQ167"/>
      <c r="HGR167"/>
      <c r="HGS167"/>
      <c r="HGT167"/>
      <c r="HGU167"/>
      <c r="HGV167"/>
      <c r="HGW167"/>
      <c r="HGX167"/>
      <c r="HGY167"/>
      <c r="HGZ167"/>
      <c r="HHA167"/>
      <c r="HHB167"/>
      <c r="HHC167"/>
      <c r="HHD167"/>
      <c r="HHE167"/>
      <c r="HHF167"/>
      <c r="HHG167"/>
      <c r="HHH167"/>
      <c r="HHI167"/>
      <c r="HHJ167"/>
      <c r="HHK167"/>
      <c r="HHL167"/>
      <c r="HHM167"/>
      <c r="HHN167"/>
      <c r="HHO167"/>
      <c r="HHP167"/>
      <c r="HHQ167"/>
      <c r="HHR167"/>
      <c r="HHS167"/>
      <c r="HHT167"/>
      <c r="HHU167"/>
      <c r="HHV167"/>
      <c r="HHW167"/>
      <c r="HHX167"/>
      <c r="HHY167"/>
      <c r="HHZ167"/>
      <c r="HIA167"/>
      <c r="HIB167"/>
      <c r="HIC167"/>
      <c r="HID167"/>
      <c r="HIE167"/>
      <c r="HIF167"/>
      <c r="HIG167"/>
      <c r="HIH167"/>
      <c r="HII167"/>
      <c r="HIJ167"/>
      <c r="HIK167"/>
      <c r="HIL167"/>
      <c r="HIM167"/>
      <c r="HIN167"/>
      <c r="HIO167"/>
      <c r="HIP167"/>
      <c r="HIQ167"/>
      <c r="HIR167"/>
      <c r="HIS167"/>
      <c r="HIT167"/>
      <c r="HIU167"/>
      <c r="HIV167"/>
      <c r="HIW167"/>
      <c r="HIX167"/>
      <c r="HIY167"/>
      <c r="HIZ167"/>
      <c r="HJA167"/>
      <c r="HJB167"/>
      <c r="HJC167"/>
      <c r="HJD167"/>
      <c r="HJE167"/>
      <c r="HJF167"/>
      <c r="HJG167"/>
      <c r="HJH167"/>
      <c r="HJI167"/>
      <c r="HJJ167"/>
      <c r="HJK167"/>
      <c r="HJL167"/>
      <c r="HJM167"/>
      <c r="HJN167"/>
      <c r="HJO167"/>
      <c r="HJP167"/>
      <c r="HJQ167"/>
      <c r="HJR167"/>
      <c r="HJS167"/>
      <c r="HJT167"/>
      <c r="HJU167"/>
      <c r="HJV167"/>
      <c r="HJW167"/>
      <c r="HJX167"/>
      <c r="HJY167"/>
      <c r="HJZ167"/>
      <c r="HKA167"/>
      <c r="HKB167"/>
      <c r="HKC167"/>
      <c r="HKD167"/>
      <c r="HKE167"/>
      <c r="HKF167"/>
      <c r="HKG167"/>
      <c r="HKH167"/>
      <c r="HKI167"/>
      <c r="HKJ167"/>
      <c r="HKK167"/>
      <c r="HKL167"/>
      <c r="HKM167"/>
      <c r="HKN167"/>
      <c r="HKO167"/>
      <c r="HKP167"/>
      <c r="HKQ167"/>
      <c r="HKR167"/>
      <c r="HKS167"/>
      <c r="HKT167"/>
      <c r="HKU167"/>
      <c r="HKV167"/>
      <c r="HKW167"/>
      <c r="HKX167"/>
      <c r="HKY167"/>
      <c r="HKZ167"/>
      <c r="HLA167"/>
      <c r="HLB167"/>
      <c r="HLC167"/>
      <c r="HLD167"/>
      <c r="HLE167"/>
      <c r="HLF167"/>
      <c r="HLG167"/>
      <c r="HLH167"/>
      <c r="HLI167"/>
      <c r="HLJ167"/>
      <c r="HLK167"/>
      <c r="HLL167"/>
      <c r="HLM167"/>
      <c r="HLN167"/>
      <c r="HLO167"/>
      <c r="HLP167"/>
      <c r="HLQ167"/>
      <c r="HLR167"/>
      <c r="HLS167"/>
      <c r="HLT167"/>
      <c r="HLU167"/>
      <c r="HLV167"/>
      <c r="HLW167"/>
      <c r="HLX167"/>
      <c r="HLY167"/>
      <c r="HLZ167"/>
      <c r="HMA167"/>
      <c r="HMB167"/>
      <c r="HMC167"/>
      <c r="HMD167"/>
      <c r="HME167"/>
      <c r="HMF167"/>
      <c r="HMG167"/>
      <c r="HMH167"/>
      <c r="HMI167"/>
      <c r="HMJ167"/>
      <c r="HMK167"/>
      <c r="HML167"/>
      <c r="HMM167"/>
      <c r="HMN167"/>
      <c r="HMO167"/>
      <c r="HMP167"/>
      <c r="HMQ167"/>
      <c r="HMR167"/>
      <c r="HMS167"/>
      <c r="HMT167"/>
      <c r="HMU167"/>
      <c r="HMV167"/>
      <c r="HMW167"/>
      <c r="HMX167"/>
      <c r="HMY167"/>
      <c r="HMZ167"/>
      <c r="HNA167"/>
      <c r="HNB167"/>
      <c r="HNC167"/>
      <c r="HND167"/>
      <c r="HNE167"/>
      <c r="HNF167"/>
      <c r="HNG167"/>
      <c r="HNH167"/>
      <c r="HNI167"/>
      <c r="HNJ167"/>
      <c r="HNK167"/>
      <c r="HNL167"/>
      <c r="HNM167"/>
      <c r="HNN167"/>
      <c r="HNO167"/>
      <c r="HNP167"/>
      <c r="HNQ167"/>
      <c r="HNR167"/>
      <c r="HNS167"/>
      <c r="HNT167"/>
      <c r="HNU167"/>
      <c r="HNV167"/>
      <c r="HNW167"/>
      <c r="HNX167"/>
      <c r="HNY167"/>
      <c r="HNZ167"/>
      <c r="HOA167"/>
      <c r="HOB167"/>
      <c r="HOC167"/>
      <c r="HOD167"/>
      <c r="HOE167"/>
      <c r="HOF167"/>
      <c r="HOG167"/>
      <c r="HOH167"/>
      <c r="HOI167"/>
      <c r="HOJ167"/>
      <c r="HOK167"/>
      <c r="HOL167"/>
      <c r="HOM167"/>
      <c r="HON167"/>
      <c r="HOO167"/>
      <c r="HOP167"/>
      <c r="HOQ167"/>
      <c r="HOR167"/>
      <c r="HOS167"/>
      <c r="HOT167"/>
      <c r="HOU167"/>
      <c r="HOV167"/>
      <c r="HOW167"/>
      <c r="HOX167"/>
      <c r="HOY167"/>
      <c r="HOZ167"/>
      <c r="HPA167"/>
      <c r="HPB167"/>
      <c r="HPC167"/>
      <c r="HPD167"/>
      <c r="HPE167"/>
      <c r="HPF167"/>
      <c r="HPG167"/>
      <c r="HPH167"/>
      <c r="HPI167"/>
      <c r="HPJ167"/>
      <c r="HPK167"/>
      <c r="HPL167"/>
      <c r="HPM167"/>
      <c r="HPN167"/>
      <c r="HPO167"/>
      <c r="HPP167"/>
      <c r="HPQ167"/>
      <c r="HPR167"/>
      <c r="HPS167"/>
      <c r="HPT167"/>
      <c r="HPU167"/>
      <c r="HPV167"/>
      <c r="HPW167"/>
      <c r="HPX167"/>
      <c r="HPY167"/>
      <c r="HPZ167"/>
      <c r="HQA167"/>
      <c r="HQB167"/>
      <c r="HQC167"/>
      <c r="HQD167"/>
      <c r="HQE167"/>
      <c r="HQF167"/>
      <c r="HQG167"/>
      <c r="HQH167"/>
      <c r="HQI167"/>
      <c r="HQJ167"/>
      <c r="HQK167"/>
      <c r="HQL167"/>
      <c r="HQM167"/>
      <c r="HQN167"/>
      <c r="HQO167"/>
      <c r="HQP167"/>
      <c r="HQQ167"/>
      <c r="HQR167"/>
      <c r="HQS167"/>
      <c r="HQT167"/>
      <c r="HQU167"/>
      <c r="HQV167"/>
      <c r="HQW167"/>
      <c r="HQX167"/>
      <c r="HQY167"/>
      <c r="HQZ167"/>
      <c r="HRA167"/>
      <c r="HRB167"/>
      <c r="HRC167"/>
      <c r="HRD167"/>
      <c r="HRE167"/>
      <c r="HRF167"/>
      <c r="HRG167"/>
      <c r="HRH167"/>
      <c r="HRI167"/>
      <c r="HRJ167"/>
      <c r="HRK167"/>
      <c r="HRL167"/>
      <c r="HRM167"/>
      <c r="HRN167"/>
      <c r="HRO167"/>
      <c r="HRP167"/>
      <c r="HRQ167"/>
      <c r="HRR167"/>
      <c r="HRS167"/>
      <c r="HRT167"/>
      <c r="HRU167"/>
      <c r="HRV167"/>
      <c r="HRW167"/>
      <c r="HRX167"/>
      <c r="HRY167"/>
      <c r="HRZ167"/>
      <c r="HSA167"/>
      <c r="HSB167"/>
      <c r="HSC167"/>
      <c r="HSD167"/>
      <c r="HSE167"/>
      <c r="HSF167"/>
      <c r="HSG167"/>
      <c r="HSH167"/>
      <c r="HSI167"/>
      <c r="HSJ167"/>
      <c r="HSK167"/>
      <c r="HSL167"/>
      <c r="HSM167"/>
      <c r="HSN167"/>
      <c r="HSO167"/>
      <c r="HSP167"/>
      <c r="HSQ167"/>
      <c r="HSR167"/>
      <c r="HSS167"/>
      <c r="HST167"/>
      <c r="HSU167"/>
      <c r="HSV167"/>
      <c r="HSW167"/>
      <c r="HSX167"/>
      <c r="HSY167"/>
      <c r="HSZ167"/>
      <c r="HTA167"/>
      <c r="HTB167"/>
      <c r="HTC167"/>
      <c r="HTD167"/>
      <c r="HTE167"/>
      <c r="HTF167"/>
      <c r="HTG167"/>
      <c r="HTH167"/>
      <c r="HTI167"/>
      <c r="HTJ167"/>
      <c r="HTK167"/>
      <c r="HTL167"/>
      <c r="HTM167"/>
      <c r="HTN167"/>
      <c r="HTO167"/>
      <c r="HTP167"/>
      <c r="HTQ167"/>
      <c r="HTR167"/>
      <c r="HTS167"/>
      <c r="HTT167"/>
      <c r="HTU167"/>
      <c r="HTV167"/>
      <c r="HTW167"/>
      <c r="HTX167"/>
      <c r="HTY167"/>
      <c r="HTZ167"/>
      <c r="HUA167"/>
      <c r="HUB167"/>
      <c r="HUC167"/>
      <c r="HUD167"/>
      <c r="HUE167"/>
      <c r="HUF167"/>
      <c r="HUG167"/>
      <c r="HUH167"/>
      <c r="HUI167"/>
      <c r="HUJ167"/>
      <c r="HUK167"/>
      <c r="HUL167"/>
      <c r="HUM167"/>
      <c r="HUN167"/>
      <c r="HUO167"/>
      <c r="HUP167"/>
      <c r="HUQ167"/>
      <c r="HUR167"/>
      <c r="HUS167"/>
      <c r="HUT167"/>
      <c r="HUU167"/>
      <c r="HUV167"/>
      <c r="HUW167"/>
      <c r="HUX167"/>
      <c r="HUY167"/>
      <c r="HUZ167"/>
      <c r="HVA167"/>
      <c r="HVB167"/>
      <c r="HVC167"/>
      <c r="HVD167"/>
      <c r="HVE167"/>
      <c r="HVF167"/>
      <c r="HVG167"/>
      <c r="HVH167"/>
      <c r="HVI167"/>
      <c r="HVJ167"/>
      <c r="HVK167"/>
      <c r="HVL167"/>
      <c r="HVM167"/>
      <c r="HVN167"/>
      <c r="HVO167"/>
      <c r="HVP167"/>
      <c r="HVQ167"/>
      <c r="HVR167"/>
      <c r="HVS167"/>
      <c r="HVT167"/>
      <c r="HVU167"/>
      <c r="HVV167"/>
      <c r="HVW167"/>
      <c r="HVX167"/>
      <c r="HVY167"/>
      <c r="HVZ167"/>
      <c r="HWA167"/>
      <c r="HWB167"/>
      <c r="HWC167"/>
      <c r="HWD167"/>
      <c r="HWE167"/>
      <c r="HWF167"/>
      <c r="HWG167"/>
      <c r="HWH167"/>
      <c r="HWI167"/>
      <c r="HWJ167"/>
      <c r="HWK167"/>
      <c r="HWL167"/>
      <c r="HWM167"/>
      <c r="HWN167"/>
      <c r="HWO167"/>
      <c r="HWP167"/>
      <c r="HWQ167"/>
      <c r="HWR167"/>
      <c r="HWS167"/>
      <c r="HWT167"/>
      <c r="HWU167"/>
      <c r="HWV167"/>
      <c r="HWW167"/>
      <c r="HWX167"/>
      <c r="HWY167"/>
      <c r="HWZ167"/>
      <c r="HXA167"/>
      <c r="HXB167"/>
      <c r="HXC167"/>
      <c r="HXD167"/>
      <c r="HXE167"/>
      <c r="HXF167"/>
      <c r="HXG167"/>
      <c r="HXH167"/>
      <c r="HXI167"/>
      <c r="HXJ167"/>
      <c r="HXK167"/>
      <c r="HXL167"/>
      <c r="HXM167"/>
      <c r="HXN167"/>
      <c r="HXO167"/>
      <c r="HXP167"/>
      <c r="HXQ167"/>
      <c r="HXR167"/>
      <c r="HXS167"/>
      <c r="HXT167"/>
      <c r="HXU167"/>
      <c r="HXV167"/>
      <c r="HXW167"/>
      <c r="HXX167"/>
      <c r="HXY167"/>
      <c r="HXZ167"/>
      <c r="HYA167"/>
      <c r="HYB167"/>
      <c r="HYC167"/>
      <c r="HYD167"/>
      <c r="HYE167"/>
      <c r="HYF167"/>
      <c r="HYG167"/>
      <c r="HYH167"/>
      <c r="HYI167"/>
      <c r="HYJ167"/>
      <c r="HYK167"/>
      <c r="HYL167"/>
      <c r="HYM167"/>
      <c r="HYN167"/>
      <c r="HYO167"/>
      <c r="HYP167"/>
      <c r="HYQ167"/>
      <c r="HYR167"/>
      <c r="HYS167"/>
      <c r="HYT167"/>
      <c r="HYU167"/>
      <c r="HYV167"/>
      <c r="HYW167"/>
      <c r="HYX167"/>
      <c r="HYY167"/>
      <c r="HYZ167"/>
      <c r="HZA167"/>
      <c r="HZB167"/>
      <c r="HZC167"/>
      <c r="HZD167"/>
      <c r="HZE167"/>
      <c r="HZF167"/>
      <c r="HZG167"/>
      <c r="HZH167"/>
      <c r="HZI167"/>
      <c r="HZJ167"/>
      <c r="HZK167"/>
      <c r="HZL167"/>
      <c r="HZM167"/>
      <c r="HZN167"/>
      <c r="HZO167"/>
      <c r="HZP167"/>
      <c r="HZQ167"/>
      <c r="HZR167"/>
      <c r="HZS167"/>
      <c r="HZT167"/>
      <c r="HZU167"/>
      <c r="HZV167"/>
      <c r="HZW167"/>
      <c r="HZX167"/>
      <c r="HZY167"/>
      <c r="HZZ167"/>
      <c r="IAA167"/>
      <c r="IAB167"/>
      <c r="IAC167"/>
      <c r="IAD167"/>
      <c r="IAE167"/>
      <c r="IAF167"/>
      <c r="IAG167"/>
      <c r="IAH167"/>
      <c r="IAI167"/>
      <c r="IAJ167"/>
      <c r="IAK167"/>
      <c r="IAL167"/>
      <c r="IAM167"/>
      <c r="IAN167"/>
      <c r="IAO167"/>
      <c r="IAP167"/>
      <c r="IAQ167"/>
      <c r="IAR167"/>
      <c r="IAS167"/>
      <c r="IAT167"/>
      <c r="IAU167"/>
      <c r="IAV167"/>
      <c r="IAW167"/>
      <c r="IAX167"/>
      <c r="IAY167"/>
      <c r="IAZ167"/>
      <c r="IBA167"/>
      <c r="IBB167"/>
      <c r="IBC167"/>
      <c r="IBD167"/>
      <c r="IBE167"/>
      <c r="IBF167"/>
      <c r="IBG167"/>
      <c r="IBH167"/>
      <c r="IBI167"/>
      <c r="IBJ167"/>
      <c r="IBK167"/>
      <c r="IBL167"/>
      <c r="IBM167"/>
      <c r="IBN167"/>
      <c r="IBO167"/>
      <c r="IBP167"/>
      <c r="IBQ167"/>
      <c r="IBR167"/>
      <c r="IBS167"/>
      <c r="IBT167"/>
      <c r="IBU167"/>
      <c r="IBV167"/>
      <c r="IBW167"/>
      <c r="IBX167"/>
      <c r="IBY167"/>
      <c r="IBZ167"/>
      <c r="ICA167"/>
      <c r="ICB167"/>
      <c r="ICC167"/>
      <c r="ICD167"/>
      <c r="ICE167"/>
      <c r="ICF167"/>
      <c r="ICG167"/>
      <c r="ICH167"/>
      <c r="ICI167"/>
      <c r="ICJ167"/>
      <c r="ICK167"/>
      <c r="ICL167"/>
      <c r="ICM167"/>
      <c r="ICN167"/>
      <c r="ICO167"/>
      <c r="ICP167"/>
      <c r="ICQ167"/>
      <c r="ICR167"/>
      <c r="ICS167"/>
      <c r="ICT167"/>
      <c r="ICU167"/>
      <c r="ICV167"/>
      <c r="ICW167"/>
      <c r="ICX167"/>
      <c r="ICY167"/>
      <c r="ICZ167"/>
      <c r="IDA167"/>
      <c r="IDB167"/>
      <c r="IDC167"/>
      <c r="IDD167"/>
      <c r="IDE167"/>
      <c r="IDF167"/>
      <c r="IDG167"/>
      <c r="IDH167"/>
      <c r="IDI167"/>
      <c r="IDJ167"/>
      <c r="IDK167"/>
      <c r="IDL167"/>
      <c r="IDM167"/>
      <c r="IDN167"/>
      <c r="IDO167"/>
      <c r="IDP167"/>
      <c r="IDQ167"/>
      <c r="IDR167"/>
      <c r="IDS167"/>
      <c r="IDT167"/>
      <c r="IDU167"/>
      <c r="IDV167"/>
      <c r="IDW167"/>
      <c r="IDX167"/>
      <c r="IDY167"/>
      <c r="IDZ167"/>
      <c r="IEA167"/>
      <c r="IEB167"/>
      <c r="IEC167"/>
      <c r="IED167"/>
      <c r="IEE167"/>
      <c r="IEF167"/>
      <c r="IEG167"/>
      <c r="IEH167"/>
      <c r="IEI167"/>
      <c r="IEJ167"/>
      <c r="IEK167"/>
      <c r="IEL167"/>
      <c r="IEM167"/>
      <c r="IEN167"/>
      <c r="IEO167"/>
      <c r="IEP167"/>
      <c r="IEQ167"/>
      <c r="IER167"/>
      <c r="IES167"/>
      <c r="IET167"/>
      <c r="IEU167"/>
      <c r="IEV167"/>
      <c r="IEW167"/>
      <c r="IEX167"/>
      <c r="IEY167"/>
      <c r="IEZ167"/>
      <c r="IFA167"/>
      <c r="IFB167"/>
      <c r="IFC167"/>
      <c r="IFD167"/>
      <c r="IFE167"/>
      <c r="IFF167"/>
      <c r="IFG167"/>
      <c r="IFH167"/>
      <c r="IFI167"/>
      <c r="IFJ167"/>
      <c r="IFK167"/>
      <c r="IFL167"/>
      <c r="IFM167"/>
      <c r="IFN167"/>
      <c r="IFO167"/>
      <c r="IFP167"/>
      <c r="IFQ167"/>
      <c r="IFR167"/>
      <c r="IFS167"/>
      <c r="IFT167"/>
      <c r="IFU167"/>
      <c r="IFV167"/>
      <c r="IFW167"/>
      <c r="IFX167"/>
      <c r="IFY167"/>
      <c r="IFZ167"/>
      <c r="IGA167"/>
      <c r="IGB167"/>
      <c r="IGC167"/>
      <c r="IGD167"/>
      <c r="IGE167"/>
      <c r="IGF167"/>
      <c r="IGG167"/>
      <c r="IGH167"/>
      <c r="IGI167"/>
      <c r="IGJ167"/>
      <c r="IGK167"/>
      <c r="IGL167"/>
      <c r="IGM167"/>
      <c r="IGN167"/>
      <c r="IGO167"/>
      <c r="IGP167"/>
      <c r="IGQ167"/>
      <c r="IGR167"/>
      <c r="IGS167"/>
      <c r="IGT167"/>
      <c r="IGU167"/>
      <c r="IGV167"/>
      <c r="IGW167"/>
      <c r="IGX167"/>
      <c r="IGY167"/>
      <c r="IGZ167"/>
      <c r="IHA167"/>
      <c r="IHB167"/>
      <c r="IHC167"/>
      <c r="IHD167"/>
      <c r="IHE167"/>
      <c r="IHF167"/>
      <c r="IHG167"/>
      <c r="IHH167"/>
      <c r="IHI167"/>
      <c r="IHJ167"/>
      <c r="IHK167"/>
      <c r="IHL167"/>
      <c r="IHM167"/>
      <c r="IHN167"/>
      <c r="IHO167"/>
      <c r="IHP167"/>
      <c r="IHQ167"/>
      <c r="IHR167"/>
      <c r="IHS167"/>
      <c r="IHT167"/>
      <c r="IHU167"/>
      <c r="IHV167"/>
      <c r="IHW167"/>
      <c r="IHX167"/>
      <c r="IHY167"/>
      <c r="IHZ167"/>
      <c r="IIA167"/>
      <c r="IIB167"/>
      <c r="IIC167"/>
      <c r="IID167"/>
      <c r="IIE167"/>
      <c r="IIF167"/>
      <c r="IIG167"/>
      <c r="IIH167"/>
      <c r="III167"/>
      <c r="IIJ167"/>
      <c r="IIK167"/>
      <c r="IIL167"/>
      <c r="IIM167"/>
      <c r="IIN167"/>
      <c r="IIO167"/>
      <c r="IIP167"/>
      <c r="IIQ167"/>
      <c r="IIR167"/>
      <c r="IIS167"/>
      <c r="IIT167"/>
      <c r="IIU167"/>
      <c r="IIV167"/>
      <c r="IIW167"/>
      <c r="IIX167"/>
      <c r="IIY167"/>
      <c r="IIZ167"/>
      <c r="IJA167"/>
      <c r="IJB167"/>
      <c r="IJC167"/>
      <c r="IJD167"/>
      <c r="IJE167"/>
      <c r="IJF167"/>
      <c r="IJG167"/>
      <c r="IJH167"/>
      <c r="IJI167"/>
      <c r="IJJ167"/>
      <c r="IJK167"/>
      <c r="IJL167"/>
      <c r="IJM167"/>
      <c r="IJN167"/>
      <c r="IJO167"/>
      <c r="IJP167"/>
      <c r="IJQ167"/>
      <c r="IJR167"/>
      <c r="IJS167"/>
      <c r="IJT167"/>
      <c r="IJU167"/>
      <c r="IJV167"/>
      <c r="IJW167"/>
      <c r="IJX167"/>
      <c r="IJY167"/>
      <c r="IJZ167"/>
      <c r="IKA167"/>
      <c r="IKB167"/>
      <c r="IKC167"/>
      <c r="IKD167"/>
      <c r="IKE167"/>
      <c r="IKF167"/>
      <c r="IKG167"/>
      <c r="IKH167"/>
      <c r="IKI167"/>
      <c r="IKJ167"/>
      <c r="IKK167"/>
      <c r="IKL167"/>
      <c r="IKM167"/>
      <c r="IKN167"/>
      <c r="IKO167"/>
      <c r="IKP167"/>
      <c r="IKQ167"/>
      <c r="IKR167"/>
      <c r="IKS167"/>
      <c r="IKT167"/>
      <c r="IKU167"/>
      <c r="IKV167"/>
      <c r="IKW167"/>
      <c r="IKX167"/>
      <c r="IKY167"/>
      <c r="IKZ167"/>
      <c r="ILA167"/>
      <c r="ILB167"/>
      <c r="ILC167"/>
      <c r="ILD167"/>
      <c r="ILE167"/>
      <c r="ILF167"/>
      <c r="ILG167"/>
      <c r="ILH167"/>
      <c r="ILI167"/>
      <c r="ILJ167"/>
      <c r="ILK167"/>
      <c r="ILL167"/>
      <c r="ILM167"/>
      <c r="ILN167"/>
      <c r="ILO167"/>
      <c r="ILP167"/>
      <c r="ILQ167"/>
      <c r="ILR167"/>
      <c r="ILS167"/>
      <c r="ILT167"/>
      <c r="ILU167"/>
      <c r="ILV167"/>
      <c r="ILW167"/>
      <c r="ILX167"/>
      <c r="ILY167"/>
      <c r="ILZ167"/>
      <c r="IMA167"/>
      <c r="IMB167"/>
      <c r="IMC167"/>
      <c r="IMD167"/>
      <c r="IME167"/>
      <c r="IMF167"/>
      <c r="IMG167"/>
      <c r="IMH167"/>
      <c r="IMI167"/>
      <c r="IMJ167"/>
      <c r="IMK167"/>
      <c r="IML167"/>
      <c r="IMM167"/>
      <c r="IMN167"/>
      <c r="IMO167"/>
      <c r="IMP167"/>
      <c r="IMQ167"/>
      <c r="IMR167"/>
      <c r="IMS167"/>
      <c r="IMT167"/>
      <c r="IMU167"/>
      <c r="IMV167"/>
      <c r="IMW167"/>
      <c r="IMX167"/>
      <c r="IMY167"/>
      <c r="IMZ167"/>
      <c r="INA167"/>
      <c r="INB167"/>
      <c r="INC167"/>
      <c r="IND167"/>
      <c r="INE167"/>
      <c r="INF167"/>
      <c r="ING167"/>
      <c r="INH167"/>
      <c r="INI167"/>
      <c r="INJ167"/>
      <c r="INK167"/>
      <c r="INL167"/>
      <c r="INM167"/>
      <c r="INN167"/>
      <c r="INO167"/>
      <c r="INP167"/>
      <c r="INQ167"/>
      <c r="INR167"/>
      <c r="INS167"/>
      <c r="INT167"/>
      <c r="INU167"/>
      <c r="INV167"/>
      <c r="INW167"/>
      <c r="INX167"/>
      <c r="INY167"/>
      <c r="INZ167"/>
      <c r="IOA167"/>
      <c r="IOB167"/>
      <c r="IOC167"/>
      <c r="IOD167"/>
      <c r="IOE167"/>
      <c r="IOF167"/>
      <c r="IOG167"/>
      <c r="IOH167"/>
      <c r="IOI167"/>
      <c r="IOJ167"/>
      <c r="IOK167"/>
      <c r="IOL167"/>
      <c r="IOM167"/>
      <c r="ION167"/>
      <c r="IOO167"/>
      <c r="IOP167"/>
      <c r="IOQ167"/>
      <c r="IOR167"/>
      <c r="IOS167"/>
      <c r="IOT167"/>
      <c r="IOU167"/>
      <c r="IOV167"/>
      <c r="IOW167"/>
      <c r="IOX167"/>
      <c r="IOY167"/>
      <c r="IOZ167"/>
      <c r="IPA167"/>
      <c r="IPB167"/>
      <c r="IPC167"/>
      <c r="IPD167"/>
      <c r="IPE167"/>
      <c r="IPF167"/>
      <c r="IPG167"/>
      <c r="IPH167"/>
      <c r="IPI167"/>
      <c r="IPJ167"/>
      <c r="IPK167"/>
      <c r="IPL167"/>
      <c r="IPM167"/>
      <c r="IPN167"/>
      <c r="IPO167"/>
      <c r="IPP167"/>
      <c r="IPQ167"/>
      <c r="IPR167"/>
      <c r="IPS167"/>
      <c r="IPT167"/>
      <c r="IPU167"/>
      <c r="IPV167"/>
      <c r="IPW167"/>
      <c r="IPX167"/>
      <c r="IPY167"/>
      <c r="IPZ167"/>
      <c r="IQA167"/>
      <c r="IQB167"/>
      <c r="IQC167"/>
      <c r="IQD167"/>
      <c r="IQE167"/>
      <c r="IQF167"/>
      <c r="IQG167"/>
      <c r="IQH167"/>
      <c r="IQI167"/>
      <c r="IQJ167"/>
      <c r="IQK167"/>
      <c r="IQL167"/>
      <c r="IQM167"/>
      <c r="IQN167"/>
      <c r="IQO167"/>
      <c r="IQP167"/>
      <c r="IQQ167"/>
      <c r="IQR167"/>
      <c r="IQS167"/>
      <c r="IQT167"/>
      <c r="IQU167"/>
      <c r="IQV167"/>
      <c r="IQW167"/>
      <c r="IQX167"/>
      <c r="IQY167"/>
      <c r="IQZ167"/>
      <c r="IRA167"/>
      <c r="IRB167"/>
      <c r="IRC167"/>
      <c r="IRD167"/>
      <c r="IRE167"/>
      <c r="IRF167"/>
      <c r="IRG167"/>
      <c r="IRH167"/>
      <c r="IRI167"/>
      <c r="IRJ167"/>
      <c r="IRK167"/>
      <c r="IRL167"/>
      <c r="IRM167"/>
      <c r="IRN167"/>
      <c r="IRO167"/>
      <c r="IRP167"/>
      <c r="IRQ167"/>
      <c r="IRR167"/>
      <c r="IRS167"/>
      <c r="IRT167"/>
      <c r="IRU167"/>
      <c r="IRV167"/>
      <c r="IRW167"/>
      <c r="IRX167"/>
      <c r="IRY167"/>
      <c r="IRZ167"/>
      <c r="ISA167"/>
      <c r="ISB167"/>
      <c r="ISC167"/>
      <c r="ISD167"/>
      <c r="ISE167"/>
      <c r="ISF167"/>
      <c r="ISG167"/>
      <c r="ISH167"/>
      <c r="ISI167"/>
      <c r="ISJ167"/>
      <c r="ISK167"/>
      <c r="ISL167"/>
      <c r="ISM167"/>
      <c r="ISN167"/>
      <c r="ISO167"/>
      <c r="ISP167"/>
      <c r="ISQ167"/>
      <c r="ISR167"/>
      <c r="ISS167"/>
      <c r="IST167"/>
      <c r="ISU167"/>
      <c r="ISV167"/>
      <c r="ISW167"/>
      <c r="ISX167"/>
      <c r="ISY167"/>
      <c r="ISZ167"/>
      <c r="ITA167"/>
      <c r="ITB167"/>
      <c r="ITC167"/>
      <c r="ITD167"/>
      <c r="ITE167"/>
      <c r="ITF167"/>
      <c r="ITG167"/>
      <c r="ITH167"/>
      <c r="ITI167"/>
      <c r="ITJ167"/>
      <c r="ITK167"/>
      <c r="ITL167"/>
      <c r="ITM167"/>
      <c r="ITN167"/>
      <c r="ITO167"/>
      <c r="ITP167"/>
      <c r="ITQ167"/>
      <c r="ITR167"/>
      <c r="ITS167"/>
      <c r="ITT167"/>
      <c r="ITU167"/>
      <c r="ITV167"/>
      <c r="ITW167"/>
      <c r="ITX167"/>
      <c r="ITY167"/>
      <c r="ITZ167"/>
      <c r="IUA167"/>
      <c r="IUB167"/>
      <c r="IUC167"/>
      <c r="IUD167"/>
      <c r="IUE167"/>
      <c r="IUF167"/>
      <c r="IUG167"/>
      <c r="IUH167"/>
      <c r="IUI167"/>
      <c r="IUJ167"/>
      <c r="IUK167"/>
      <c r="IUL167"/>
      <c r="IUM167"/>
      <c r="IUN167"/>
      <c r="IUO167"/>
      <c r="IUP167"/>
      <c r="IUQ167"/>
      <c r="IUR167"/>
      <c r="IUS167"/>
      <c r="IUT167"/>
      <c r="IUU167"/>
      <c r="IUV167"/>
      <c r="IUW167"/>
      <c r="IUX167"/>
      <c r="IUY167"/>
      <c r="IUZ167"/>
      <c r="IVA167"/>
      <c r="IVB167"/>
      <c r="IVC167"/>
      <c r="IVD167"/>
      <c r="IVE167"/>
      <c r="IVF167"/>
      <c r="IVG167"/>
      <c r="IVH167"/>
      <c r="IVI167"/>
      <c r="IVJ167"/>
      <c r="IVK167"/>
      <c r="IVL167"/>
      <c r="IVM167"/>
      <c r="IVN167"/>
      <c r="IVO167"/>
      <c r="IVP167"/>
      <c r="IVQ167"/>
      <c r="IVR167"/>
      <c r="IVS167"/>
      <c r="IVT167"/>
      <c r="IVU167"/>
      <c r="IVV167"/>
      <c r="IVW167"/>
      <c r="IVX167"/>
      <c r="IVY167"/>
      <c r="IVZ167"/>
      <c r="IWA167"/>
      <c r="IWB167"/>
      <c r="IWC167"/>
      <c r="IWD167"/>
      <c r="IWE167"/>
      <c r="IWF167"/>
      <c r="IWG167"/>
      <c r="IWH167"/>
      <c r="IWI167"/>
      <c r="IWJ167"/>
      <c r="IWK167"/>
      <c r="IWL167"/>
      <c r="IWM167"/>
      <c r="IWN167"/>
      <c r="IWO167"/>
      <c r="IWP167"/>
      <c r="IWQ167"/>
      <c r="IWR167"/>
      <c r="IWS167"/>
      <c r="IWT167"/>
      <c r="IWU167"/>
      <c r="IWV167"/>
      <c r="IWW167"/>
      <c r="IWX167"/>
      <c r="IWY167"/>
      <c r="IWZ167"/>
      <c r="IXA167"/>
      <c r="IXB167"/>
      <c r="IXC167"/>
      <c r="IXD167"/>
      <c r="IXE167"/>
      <c r="IXF167"/>
      <c r="IXG167"/>
      <c r="IXH167"/>
      <c r="IXI167"/>
      <c r="IXJ167"/>
      <c r="IXK167"/>
      <c r="IXL167"/>
      <c r="IXM167"/>
      <c r="IXN167"/>
      <c r="IXO167"/>
      <c r="IXP167"/>
      <c r="IXQ167"/>
      <c r="IXR167"/>
      <c r="IXS167"/>
      <c r="IXT167"/>
      <c r="IXU167"/>
      <c r="IXV167"/>
      <c r="IXW167"/>
      <c r="IXX167"/>
      <c r="IXY167"/>
      <c r="IXZ167"/>
      <c r="IYA167"/>
      <c r="IYB167"/>
      <c r="IYC167"/>
      <c r="IYD167"/>
      <c r="IYE167"/>
      <c r="IYF167"/>
      <c r="IYG167"/>
      <c r="IYH167"/>
      <c r="IYI167"/>
      <c r="IYJ167"/>
      <c r="IYK167"/>
      <c r="IYL167"/>
      <c r="IYM167"/>
      <c r="IYN167"/>
      <c r="IYO167"/>
      <c r="IYP167"/>
      <c r="IYQ167"/>
      <c r="IYR167"/>
      <c r="IYS167"/>
      <c r="IYT167"/>
      <c r="IYU167"/>
      <c r="IYV167"/>
      <c r="IYW167"/>
      <c r="IYX167"/>
      <c r="IYY167"/>
      <c r="IYZ167"/>
      <c r="IZA167"/>
      <c r="IZB167"/>
      <c r="IZC167"/>
      <c r="IZD167"/>
      <c r="IZE167"/>
      <c r="IZF167"/>
      <c r="IZG167"/>
      <c r="IZH167"/>
      <c r="IZI167"/>
      <c r="IZJ167"/>
      <c r="IZK167"/>
      <c r="IZL167"/>
      <c r="IZM167"/>
      <c r="IZN167"/>
      <c r="IZO167"/>
      <c r="IZP167"/>
      <c r="IZQ167"/>
      <c r="IZR167"/>
      <c r="IZS167"/>
      <c r="IZT167"/>
      <c r="IZU167"/>
      <c r="IZV167"/>
      <c r="IZW167"/>
      <c r="IZX167"/>
      <c r="IZY167"/>
      <c r="IZZ167"/>
      <c r="JAA167"/>
      <c r="JAB167"/>
      <c r="JAC167"/>
      <c r="JAD167"/>
      <c r="JAE167"/>
      <c r="JAF167"/>
      <c r="JAG167"/>
      <c r="JAH167"/>
      <c r="JAI167"/>
      <c r="JAJ167"/>
      <c r="JAK167"/>
      <c r="JAL167"/>
      <c r="JAM167"/>
      <c r="JAN167"/>
      <c r="JAO167"/>
      <c r="JAP167"/>
      <c r="JAQ167"/>
      <c r="JAR167"/>
      <c r="JAS167"/>
      <c r="JAT167"/>
      <c r="JAU167"/>
      <c r="JAV167"/>
      <c r="JAW167"/>
      <c r="JAX167"/>
      <c r="JAY167"/>
      <c r="JAZ167"/>
      <c r="JBA167"/>
      <c r="JBB167"/>
      <c r="JBC167"/>
      <c r="JBD167"/>
      <c r="JBE167"/>
      <c r="JBF167"/>
      <c r="JBG167"/>
      <c r="JBH167"/>
      <c r="JBI167"/>
      <c r="JBJ167"/>
      <c r="JBK167"/>
      <c r="JBL167"/>
      <c r="JBM167"/>
      <c r="JBN167"/>
      <c r="JBO167"/>
      <c r="JBP167"/>
      <c r="JBQ167"/>
      <c r="JBR167"/>
      <c r="JBS167"/>
      <c r="JBT167"/>
      <c r="JBU167"/>
      <c r="JBV167"/>
      <c r="JBW167"/>
      <c r="JBX167"/>
      <c r="JBY167"/>
      <c r="JBZ167"/>
      <c r="JCA167"/>
      <c r="JCB167"/>
      <c r="JCC167"/>
      <c r="JCD167"/>
      <c r="JCE167"/>
      <c r="JCF167"/>
      <c r="JCG167"/>
      <c r="JCH167"/>
      <c r="JCI167"/>
      <c r="JCJ167"/>
      <c r="JCK167"/>
      <c r="JCL167"/>
      <c r="JCM167"/>
      <c r="JCN167"/>
      <c r="JCO167"/>
      <c r="JCP167"/>
      <c r="JCQ167"/>
      <c r="JCR167"/>
      <c r="JCS167"/>
      <c r="JCT167"/>
      <c r="JCU167"/>
      <c r="JCV167"/>
      <c r="JCW167"/>
      <c r="JCX167"/>
      <c r="JCY167"/>
      <c r="JCZ167"/>
      <c r="JDA167"/>
      <c r="JDB167"/>
      <c r="JDC167"/>
      <c r="JDD167"/>
      <c r="JDE167"/>
      <c r="JDF167"/>
      <c r="JDG167"/>
      <c r="JDH167"/>
      <c r="JDI167"/>
      <c r="JDJ167"/>
      <c r="JDK167"/>
      <c r="JDL167"/>
      <c r="JDM167"/>
      <c r="JDN167"/>
      <c r="JDO167"/>
      <c r="JDP167"/>
      <c r="JDQ167"/>
      <c r="JDR167"/>
      <c r="JDS167"/>
      <c r="JDT167"/>
      <c r="JDU167"/>
      <c r="JDV167"/>
      <c r="JDW167"/>
      <c r="JDX167"/>
      <c r="JDY167"/>
      <c r="JDZ167"/>
      <c r="JEA167"/>
      <c r="JEB167"/>
      <c r="JEC167"/>
      <c r="JED167"/>
      <c r="JEE167"/>
      <c r="JEF167"/>
      <c r="JEG167"/>
      <c r="JEH167"/>
      <c r="JEI167"/>
      <c r="JEJ167"/>
      <c r="JEK167"/>
      <c r="JEL167"/>
      <c r="JEM167"/>
      <c r="JEN167"/>
      <c r="JEO167"/>
      <c r="JEP167"/>
      <c r="JEQ167"/>
      <c r="JER167"/>
      <c r="JES167"/>
      <c r="JET167"/>
      <c r="JEU167"/>
      <c r="JEV167"/>
      <c r="JEW167"/>
      <c r="JEX167"/>
      <c r="JEY167"/>
      <c r="JEZ167"/>
      <c r="JFA167"/>
      <c r="JFB167"/>
      <c r="JFC167"/>
      <c r="JFD167"/>
      <c r="JFE167"/>
      <c r="JFF167"/>
      <c r="JFG167"/>
      <c r="JFH167"/>
      <c r="JFI167"/>
      <c r="JFJ167"/>
      <c r="JFK167"/>
      <c r="JFL167"/>
      <c r="JFM167"/>
      <c r="JFN167"/>
      <c r="JFO167"/>
      <c r="JFP167"/>
      <c r="JFQ167"/>
      <c r="JFR167"/>
      <c r="JFS167"/>
      <c r="JFT167"/>
      <c r="JFU167"/>
      <c r="JFV167"/>
      <c r="JFW167"/>
      <c r="JFX167"/>
      <c r="JFY167"/>
      <c r="JFZ167"/>
      <c r="JGA167"/>
      <c r="JGB167"/>
      <c r="JGC167"/>
      <c r="JGD167"/>
      <c r="JGE167"/>
      <c r="JGF167"/>
      <c r="JGG167"/>
      <c r="JGH167"/>
      <c r="JGI167"/>
      <c r="JGJ167"/>
      <c r="JGK167"/>
      <c r="JGL167"/>
      <c r="JGM167"/>
      <c r="JGN167"/>
      <c r="JGO167"/>
      <c r="JGP167"/>
      <c r="JGQ167"/>
      <c r="JGR167"/>
      <c r="JGS167"/>
      <c r="JGT167"/>
      <c r="JGU167"/>
      <c r="JGV167"/>
      <c r="JGW167"/>
      <c r="JGX167"/>
      <c r="JGY167"/>
      <c r="JGZ167"/>
      <c r="JHA167"/>
      <c r="JHB167"/>
      <c r="JHC167"/>
      <c r="JHD167"/>
      <c r="JHE167"/>
      <c r="JHF167"/>
      <c r="JHG167"/>
      <c r="JHH167"/>
      <c r="JHI167"/>
      <c r="JHJ167"/>
      <c r="JHK167"/>
      <c r="JHL167"/>
      <c r="JHM167"/>
      <c r="JHN167"/>
      <c r="JHO167"/>
      <c r="JHP167"/>
      <c r="JHQ167"/>
      <c r="JHR167"/>
      <c r="JHS167"/>
      <c r="JHT167"/>
      <c r="JHU167"/>
      <c r="JHV167"/>
      <c r="JHW167"/>
      <c r="JHX167"/>
      <c r="JHY167"/>
      <c r="JHZ167"/>
      <c r="JIA167"/>
      <c r="JIB167"/>
      <c r="JIC167"/>
      <c r="JID167"/>
      <c r="JIE167"/>
      <c r="JIF167"/>
      <c r="JIG167"/>
      <c r="JIH167"/>
      <c r="JII167"/>
      <c r="JIJ167"/>
      <c r="JIK167"/>
      <c r="JIL167"/>
      <c r="JIM167"/>
      <c r="JIN167"/>
      <c r="JIO167"/>
      <c r="JIP167"/>
      <c r="JIQ167"/>
      <c r="JIR167"/>
      <c r="JIS167"/>
      <c r="JIT167"/>
      <c r="JIU167"/>
      <c r="JIV167"/>
      <c r="JIW167"/>
      <c r="JIX167"/>
      <c r="JIY167"/>
      <c r="JIZ167"/>
      <c r="JJA167"/>
      <c r="JJB167"/>
      <c r="JJC167"/>
      <c r="JJD167"/>
      <c r="JJE167"/>
      <c r="JJF167"/>
      <c r="JJG167"/>
      <c r="JJH167"/>
      <c r="JJI167"/>
      <c r="JJJ167"/>
      <c r="JJK167"/>
      <c r="JJL167"/>
      <c r="JJM167"/>
      <c r="JJN167"/>
      <c r="JJO167"/>
      <c r="JJP167"/>
      <c r="JJQ167"/>
      <c r="JJR167"/>
      <c r="JJS167"/>
      <c r="JJT167"/>
      <c r="JJU167"/>
      <c r="JJV167"/>
      <c r="JJW167"/>
      <c r="JJX167"/>
      <c r="JJY167"/>
      <c r="JJZ167"/>
      <c r="JKA167"/>
      <c r="JKB167"/>
      <c r="JKC167"/>
      <c r="JKD167"/>
      <c r="JKE167"/>
      <c r="JKF167"/>
      <c r="JKG167"/>
      <c r="JKH167"/>
      <c r="JKI167"/>
      <c r="JKJ167"/>
      <c r="JKK167"/>
      <c r="JKL167"/>
      <c r="JKM167"/>
      <c r="JKN167"/>
      <c r="JKO167"/>
      <c r="JKP167"/>
      <c r="JKQ167"/>
      <c r="JKR167"/>
      <c r="JKS167"/>
      <c r="JKT167"/>
      <c r="JKU167"/>
      <c r="JKV167"/>
      <c r="JKW167"/>
      <c r="JKX167"/>
      <c r="JKY167"/>
      <c r="JKZ167"/>
      <c r="JLA167"/>
      <c r="JLB167"/>
      <c r="JLC167"/>
      <c r="JLD167"/>
      <c r="JLE167"/>
      <c r="JLF167"/>
      <c r="JLG167"/>
      <c r="JLH167"/>
      <c r="JLI167"/>
      <c r="JLJ167"/>
      <c r="JLK167"/>
      <c r="JLL167"/>
      <c r="JLM167"/>
      <c r="JLN167"/>
      <c r="JLO167"/>
      <c r="JLP167"/>
      <c r="JLQ167"/>
      <c r="JLR167"/>
      <c r="JLS167"/>
      <c r="JLT167"/>
      <c r="JLU167"/>
      <c r="JLV167"/>
      <c r="JLW167"/>
      <c r="JLX167"/>
      <c r="JLY167"/>
      <c r="JLZ167"/>
      <c r="JMA167"/>
      <c r="JMB167"/>
      <c r="JMC167"/>
      <c r="JMD167"/>
      <c r="JME167"/>
      <c r="JMF167"/>
      <c r="JMG167"/>
      <c r="JMH167"/>
      <c r="JMI167"/>
      <c r="JMJ167"/>
      <c r="JMK167"/>
      <c r="JML167"/>
      <c r="JMM167"/>
      <c r="JMN167"/>
      <c r="JMO167"/>
      <c r="JMP167"/>
      <c r="JMQ167"/>
      <c r="JMR167"/>
      <c r="JMS167"/>
      <c r="JMT167"/>
      <c r="JMU167"/>
      <c r="JMV167"/>
      <c r="JMW167"/>
      <c r="JMX167"/>
      <c r="JMY167"/>
      <c r="JMZ167"/>
      <c r="JNA167"/>
      <c r="JNB167"/>
      <c r="JNC167"/>
      <c r="JND167"/>
      <c r="JNE167"/>
      <c r="JNF167"/>
      <c r="JNG167"/>
      <c r="JNH167"/>
      <c r="JNI167"/>
      <c r="JNJ167"/>
      <c r="JNK167"/>
      <c r="JNL167"/>
      <c r="JNM167"/>
      <c r="JNN167"/>
      <c r="JNO167"/>
      <c r="JNP167"/>
      <c r="JNQ167"/>
      <c r="JNR167"/>
      <c r="JNS167"/>
      <c r="JNT167"/>
      <c r="JNU167"/>
      <c r="JNV167"/>
      <c r="JNW167"/>
      <c r="JNX167"/>
      <c r="JNY167"/>
      <c r="JNZ167"/>
      <c r="JOA167"/>
      <c r="JOB167"/>
      <c r="JOC167"/>
      <c r="JOD167"/>
      <c r="JOE167"/>
      <c r="JOF167"/>
      <c r="JOG167"/>
      <c r="JOH167"/>
      <c r="JOI167"/>
      <c r="JOJ167"/>
      <c r="JOK167"/>
      <c r="JOL167"/>
      <c r="JOM167"/>
      <c r="JON167"/>
      <c r="JOO167"/>
      <c r="JOP167"/>
      <c r="JOQ167"/>
      <c r="JOR167"/>
      <c r="JOS167"/>
      <c r="JOT167"/>
      <c r="JOU167"/>
      <c r="JOV167"/>
      <c r="JOW167"/>
      <c r="JOX167"/>
      <c r="JOY167"/>
      <c r="JOZ167"/>
      <c r="JPA167"/>
      <c r="JPB167"/>
      <c r="JPC167"/>
      <c r="JPD167"/>
      <c r="JPE167"/>
      <c r="JPF167"/>
      <c r="JPG167"/>
      <c r="JPH167"/>
      <c r="JPI167"/>
      <c r="JPJ167"/>
      <c r="JPK167"/>
      <c r="JPL167"/>
      <c r="JPM167"/>
      <c r="JPN167"/>
      <c r="JPO167"/>
      <c r="JPP167"/>
      <c r="JPQ167"/>
      <c r="JPR167"/>
      <c r="JPS167"/>
      <c r="JPT167"/>
      <c r="JPU167"/>
      <c r="JPV167"/>
      <c r="JPW167"/>
      <c r="JPX167"/>
      <c r="JPY167"/>
      <c r="JPZ167"/>
      <c r="JQA167"/>
      <c r="JQB167"/>
      <c r="JQC167"/>
      <c r="JQD167"/>
      <c r="JQE167"/>
      <c r="JQF167"/>
      <c r="JQG167"/>
      <c r="JQH167"/>
      <c r="JQI167"/>
      <c r="JQJ167"/>
      <c r="JQK167"/>
      <c r="JQL167"/>
      <c r="JQM167"/>
      <c r="JQN167"/>
      <c r="JQO167"/>
      <c r="JQP167"/>
      <c r="JQQ167"/>
      <c r="JQR167"/>
      <c r="JQS167"/>
      <c r="JQT167"/>
      <c r="JQU167"/>
      <c r="JQV167"/>
      <c r="JQW167"/>
      <c r="JQX167"/>
      <c r="JQY167"/>
      <c r="JQZ167"/>
      <c r="JRA167"/>
      <c r="JRB167"/>
      <c r="JRC167"/>
      <c r="JRD167"/>
      <c r="JRE167"/>
      <c r="JRF167"/>
      <c r="JRG167"/>
      <c r="JRH167"/>
      <c r="JRI167"/>
      <c r="JRJ167"/>
      <c r="JRK167"/>
      <c r="JRL167"/>
      <c r="JRM167"/>
      <c r="JRN167"/>
      <c r="JRO167"/>
      <c r="JRP167"/>
      <c r="JRQ167"/>
      <c r="JRR167"/>
      <c r="JRS167"/>
      <c r="JRT167"/>
      <c r="JRU167"/>
      <c r="JRV167"/>
      <c r="JRW167"/>
      <c r="JRX167"/>
      <c r="JRY167"/>
      <c r="JRZ167"/>
      <c r="JSA167"/>
      <c r="JSB167"/>
      <c r="JSC167"/>
      <c r="JSD167"/>
      <c r="JSE167"/>
      <c r="JSF167"/>
      <c r="JSG167"/>
      <c r="JSH167"/>
      <c r="JSI167"/>
      <c r="JSJ167"/>
      <c r="JSK167"/>
      <c r="JSL167"/>
      <c r="JSM167"/>
      <c r="JSN167"/>
      <c r="JSO167"/>
      <c r="JSP167"/>
      <c r="JSQ167"/>
      <c r="JSR167"/>
      <c r="JSS167"/>
      <c r="JST167"/>
      <c r="JSU167"/>
      <c r="JSV167"/>
      <c r="JSW167"/>
      <c r="JSX167"/>
      <c r="JSY167"/>
      <c r="JSZ167"/>
      <c r="JTA167"/>
      <c r="JTB167"/>
      <c r="JTC167"/>
      <c r="JTD167"/>
      <c r="JTE167"/>
      <c r="JTF167"/>
      <c r="JTG167"/>
      <c r="JTH167"/>
      <c r="JTI167"/>
      <c r="JTJ167"/>
      <c r="JTK167"/>
      <c r="JTL167"/>
      <c r="JTM167"/>
      <c r="JTN167"/>
      <c r="JTO167"/>
      <c r="JTP167"/>
      <c r="JTQ167"/>
      <c r="JTR167"/>
      <c r="JTS167"/>
      <c r="JTT167"/>
      <c r="JTU167"/>
      <c r="JTV167"/>
      <c r="JTW167"/>
      <c r="JTX167"/>
      <c r="JTY167"/>
      <c r="JTZ167"/>
      <c r="JUA167"/>
      <c r="JUB167"/>
      <c r="JUC167"/>
      <c r="JUD167"/>
      <c r="JUE167"/>
      <c r="JUF167"/>
      <c r="JUG167"/>
      <c r="JUH167"/>
      <c r="JUI167"/>
      <c r="JUJ167"/>
      <c r="JUK167"/>
      <c r="JUL167"/>
      <c r="JUM167"/>
      <c r="JUN167"/>
      <c r="JUO167"/>
      <c r="JUP167"/>
      <c r="JUQ167"/>
      <c r="JUR167"/>
      <c r="JUS167"/>
      <c r="JUT167"/>
      <c r="JUU167"/>
      <c r="JUV167"/>
      <c r="JUW167"/>
      <c r="JUX167"/>
      <c r="JUY167"/>
      <c r="JUZ167"/>
      <c r="JVA167"/>
      <c r="JVB167"/>
      <c r="JVC167"/>
      <c r="JVD167"/>
      <c r="JVE167"/>
      <c r="JVF167"/>
      <c r="JVG167"/>
      <c r="JVH167"/>
      <c r="JVI167"/>
      <c r="JVJ167"/>
      <c r="JVK167"/>
      <c r="JVL167"/>
      <c r="JVM167"/>
      <c r="JVN167"/>
      <c r="JVO167"/>
      <c r="JVP167"/>
      <c r="JVQ167"/>
      <c r="JVR167"/>
      <c r="JVS167"/>
      <c r="JVT167"/>
      <c r="JVU167"/>
      <c r="JVV167"/>
      <c r="JVW167"/>
      <c r="JVX167"/>
      <c r="JVY167"/>
      <c r="JVZ167"/>
      <c r="JWA167"/>
      <c r="JWB167"/>
      <c r="JWC167"/>
      <c r="JWD167"/>
      <c r="JWE167"/>
      <c r="JWF167"/>
      <c r="JWG167"/>
      <c r="JWH167"/>
      <c r="JWI167"/>
      <c r="JWJ167"/>
      <c r="JWK167"/>
      <c r="JWL167"/>
      <c r="JWM167"/>
      <c r="JWN167"/>
      <c r="JWO167"/>
      <c r="JWP167"/>
      <c r="JWQ167"/>
      <c r="JWR167"/>
      <c r="JWS167"/>
      <c r="JWT167"/>
      <c r="JWU167"/>
      <c r="JWV167"/>
      <c r="JWW167"/>
      <c r="JWX167"/>
      <c r="JWY167"/>
      <c r="JWZ167"/>
      <c r="JXA167"/>
      <c r="JXB167"/>
      <c r="JXC167"/>
      <c r="JXD167"/>
      <c r="JXE167"/>
      <c r="JXF167"/>
      <c r="JXG167"/>
      <c r="JXH167"/>
      <c r="JXI167"/>
      <c r="JXJ167"/>
      <c r="JXK167"/>
      <c r="JXL167"/>
      <c r="JXM167"/>
      <c r="JXN167"/>
      <c r="JXO167"/>
      <c r="JXP167"/>
      <c r="JXQ167"/>
      <c r="JXR167"/>
      <c r="JXS167"/>
      <c r="JXT167"/>
      <c r="JXU167"/>
      <c r="JXV167"/>
      <c r="JXW167"/>
      <c r="JXX167"/>
      <c r="JXY167"/>
      <c r="JXZ167"/>
      <c r="JYA167"/>
      <c r="JYB167"/>
      <c r="JYC167"/>
      <c r="JYD167"/>
      <c r="JYE167"/>
      <c r="JYF167"/>
      <c r="JYG167"/>
      <c r="JYH167"/>
      <c r="JYI167"/>
      <c r="JYJ167"/>
      <c r="JYK167"/>
      <c r="JYL167"/>
      <c r="JYM167"/>
      <c r="JYN167"/>
      <c r="JYO167"/>
      <c r="JYP167"/>
      <c r="JYQ167"/>
      <c r="JYR167"/>
      <c r="JYS167"/>
      <c r="JYT167"/>
      <c r="JYU167"/>
      <c r="JYV167"/>
      <c r="JYW167"/>
      <c r="JYX167"/>
      <c r="JYY167"/>
      <c r="JYZ167"/>
      <c r="JZA167"/>
      <c r="JZB167"/>
      <c r="JZC167"/>
      <c r="JZD167"/>
      <c r="JZE167"/>
      <c r="JZF167"/>
      <c r="JZG167"/>
      <c r="JZH167"/>
      <c r="JZI167"/>
      <c r="JZJ167"/>
      <c r="JZK167"/>
      <c r="JZL167"/>
      <c r="JZM167"/>
      <c r="JZN167"/>
      <c r="JZO167"/>
      <c r="JZP167"/>
      <c r="JZQ167"/>
      <c r="JZR167"/>
      <c r="JZS167"/>
      <c r="JZT167"/>
      <c r="JZU167"/>
      <c r="JZV167"/>
      <c r="JZW167"/>
      <c r="JZX167"/>
      <c r="JZY167"/>
      <c r="JZZ167"/>
      <c r="KAA167"/>
      <c r="KAB167"/>
      <c r="KAC167"/>
      <c r="KAD167"/>
      <c r="KAE167"/>
      <c r="KAF167"/>
      <c r="KAG167"/>
      <c r="KAH167"/>
      <c r="KAI167"/>
      <c r="KAJ167"/>
      <c r="KAK167"/>
      <c r="KAL167"/>
      <c r="KAM167"/>
      <c r="KAN167"/>
      <c r="KAO167"/>
      <c r="KAP167"/>
      <c r="KAQ167"/>
      <c r="KAR167"/>
      <c r="KAS167"/>
      <c r="KAT167"/>
      <c r="KAU167"/>
      <c r="KAV167"/>
      <c r="KAW167"/>
      <c r="KAX167"/>
      <c r="KAY167"/>
      <c r="KAZ167"/>
      <c r="KBA167"/>
      <c r="KBB167"/>
      <c r="KBC167"/>
      <c r="KBD167"/>
      <c r="KBE167"/>
      <c r="KBF167"/>
      <c r="KBG167"/>
      <c r="KBH167"/>
      <c r="KBI167"/>
      <c r="KBJ167"/>
      <c r="KBK167"/>
      <c r="KBL167"/>
      <c r="KBM167"/>
      <c r="KBN167"/>
      <c r="KBO167"/>
      <c r="KBP167"/>
      <c r="KBQ167"/>
      <c r="KBR167"/>
      <c r="KBS167"/>
      <c r="KBT167"/>
      <c r="KBU167"/>
      <c r="KBV167"/>
      <c r="KBW167"/>
      <c r="KBX167"/>
      <c r="KBY167"/>
      <c r="KBZ167"/>
      <c r="KCA167"/>
      <c r="KCB167"/>
      <c r="KCC167"/>
      <c r="KCD167"/>
      <c r="KCE167"/>
      <c r="KCF167"/>
      <c r="KCG167"/>
      <c r="KCH167"/>
      <c r="KCI167"/>
      <c r="KCJ167"/>
      <c r="KCK167"/>
      <c r="KCL167"/>
      <c r="KCM167"/>
      <c r="KCN167"/>
      <c r="KCO167"/>
      <c r="KCP167"/>
      <c r="KCQ167"/>
      <c r="KCR167"/>
      <c r="KCS167"/>
      <c r="KCT167"/>
      <c r="KCU167"/>
      <c r="KCV167"/>
      <c r="KCW167"/>
      <c r="KCX167"/>
      <c r="KCY167"/>
      <c r="KCZ167"/>
      <c r="KDA167"/>
      <c r="KDB167"/>
      <c r="KDC167"/>
      <c r="KDD167"/>
      <c r="KDE167"/>
      <c r="KDF167"/>
      <c r="KDG167"/>
      <c r="KDH167"/>
      <c r="KDI167"/>
      <c r="KDJ167"/>
      <c r="KDK167"/>
      <c r="KDL167"/>
      <c r="KDM167"/>
      <c r="KDN167"/>
      <c r="KDO167"/>
      <c r="KDP167"/>
      <c r="KDQ167"/>
      <c r="KDR167"/>
      <c r="KDS167"/>
      <c r="KDT167"/>
      <c r="KDU167"/>
      <c r="KDV167"/>
      <c r="KDW167"/>
      <c r="KDX167"/>
      <c r="KDY167"/>
      <c r="KDZ167"/>
      <c r="KEA167"/>
      <c r="KEB167"/>
      <c r="KEC167"/>
      <c r="KED167"/>
      <c r="KEE167"/>
      <c r="KEF167"/>
      <c r="KEG167"/>
      <c r="KEH167"/>
      <c r="KEI167"/>
      <c r="KEJ167"/>
      <c r="KEK167"/>
      <c r="KEL167"/>
      <c r="KEM167"/>
      <c r="KEN167"/>
      <c r="KEO167"/>
      <c r="KEP167"/>
      <c r="KEQ167"/>
      <c r="KER167"/>
      <c r="KES167"/>
      <c r="KET167"/>
      <c r="KEU167"/>
      <c r="KEV167"/>
      <c r="KEW167"/>
      <c r="KEX167"/>
      <c r="KEY167"/>
      <c r="KEZ167"/>
      <c r="KFA167"/>
      <c r="KFB167"/>
      <c r="KFC167"/>
      <c r="KFD167"/>
      <c r="KFE167"/>
      <c r="KFF167"/>
      <c r="KFG167"/>
      <c r="KFH167"/>
      <c r="KFI167"/>
      <c r="KFJ167"/>
      <c r="KFK167"/>
      <c r="KFL167"/>
      <c r="KFM167"/>
      <c r="KFN167"/>
      <c r="KFO167"/>
      <c r="KFP167"/>
      <c r="KFQ167"/>
      <c r="KFR167"/>
      <c r="KFS167"/>
      <c r="KFT167"/>
      <c r="KFU167"/>
      <c r="KFV167"/>
      <c r="KFW167"/>
      <c r="KFX167"/>
      <c r="KFY167"/>
      <c r="KFZ167"/>
      <c r="KGA167"/>
      <c r="KGB167"/>
      <c r="KGC167"/>
      <c r="KGD167"/>
      <c r="KGE167"/>
      <c r="KGF167"/>
      <c r="KGG167"/>
      <c r="KGH167"/>
      <c r="KGI167"/>
      <c r="KGJ167"/>
      <c r="KGK167"/>
      <c r="KGL167"/>
      <c r="KGM167"/>
      <c r="KGN167"/>
      <c r="KGO167"/>
      <c r="KGP167"/>
      <c r="KGQ167"/>
      <c r="KGR167"/>
      <c r="KGS167"/>
      <c r="KGT167"/>
      <c r="KGU167"/>
      <c r="KGV167"/>
      <c r="KGW167"/>
      <c r="KGX167"/>
      <c r="KGY167"/>
      <c r="KGZ167"/>
      <c r="KHA167"/>
      <c r="KHB167"/>
      <c r="KHC167"/>
      <c r="KHD167"/>
      <c r="KHE167"/>
      <c r="KHF167"/>
      <c r="KHG167"/>
      <c r="KHH167"/>
      <c r="KHI167"/>
      <c r="KHJ167"/>
      <c r="KHK167"/>
      <c r="KHL167"/>
      <c r="KHM167"/>
      <c r="KHN167"/>
      <c r="KHO167"/>
      <c r="KHP167"/>
      <c r="KHQ167"/>
      <c r="KHR167"/>
      <c r="KHS167"/>
      <c r="KHT167"/>
      <c r="KHU167"/>
      <c r="KHV167"/>
      <c r="KHW167"/>
      <c r="KHX167"/>
      <c r="KHY167"/>
      <c r="KHZ167"/>
      <c r="KIA167"/>
      <c r="KIB167"/>
      <c r="KIC167"/>
      <c r="KID167"/>
      <c r="KIE167"/>
      <c r="KIF167"/>
      <c r="KIG167"/>
      <c r="KIH167"/>
      <c r="KII167"/>
      <c r="KIJ167"/>
      <c r="KIK167"/>
      <c r="KIL167"/>
      <c r="KIM167"/>
      <c r="KIN167"/>
      <c r="KIO167"/>
      <c r="KIP167"/>
      <c r="KIQ167"/>
      <c r="KIR167"/>
      <c r="KIS167"/>
      <c r="KIT167"/>
      <c r="KIU167"/>
      <c r="KIV167"/>
      <c r="KIW167"/>
      <c r="KIX167"/>
      <c r="KIY167"/>
      <c r="KIZ167"/>
      <c r="KJA167"/>
      <c r="KJB167"/>
      <c r="KJC167"/>
      <c r="KJD167"/>
      <c r="KJE167"/>
      <c r="KJF167"/>
      <c r="KJG167"/>
      <c r="KJH167"/>
      <c r="KJI167"/>
      <c r="KJJ167"/>
      <c r="KJK167"/>
      <c r="KJL167"/>
      <c r="KJM167"/>
      <c r="KJN167"/>
      <c r="KJO167"/>
      <c r="KJP167"/>
      <c r="KJQ167"/>
      <c r="KJR167"/>
      <c r="KJS167"/>
      <c r="KJT167"/>
      <c r="KJU167"/>
      <c r="KJV167"/>
      <c r="KJW167"/>
      <c r="KJX167"/>
      <c r="KJY167"/>
      <c r="KJZ167"/>
      <c r="KKA167"/>
      <c r="KKB167"/>
      <c r="KKC167"/>
      <c r="KKD167"/>
      <c r="KKE167"/>
      <c r="KKF167"/>
      <c r="KKG167"/>
      <c r="KKH167"/>
      <c r="KKI167"/>
      <c r="KKJ167"/>
      <c r="KKK167"/>
      <c r="KKL167"/>
      <c r="KKM167"/>
      <c r="KKN167"/>
      <c r="KKO167"/>
      <c r="KKP167"/>
      <c r="KKQ167"/>
      <c r="KKR167"/>
      <c r="KKS167"/>
      <c r="KKT167"/>
      <c r="KKU167"/>
      <c r="KKV167"/>
      <c r="KKW167"/>
      <c r="KKX167"/>
      <c r="KKY167"/>
      <c r="KKZ167"/>
      <c r="KLA167"/>
      <c r="KLB167"/>
      <c r="KLC167"/>
      <c r="KLD167"/>
      <c r="KLE167"/>
      <c r="KLF167"/>
      <c r="KLG167"/>
      <c r="KLH167"/>
      <c r="KLI167"/>
      <c r="KLJ167"/>
      <c r="KLK167"/>
      <c r="KLL167"/>
      <c r="KLM167"/>
      <c r="KLN167"/>
      <c r="KLO167"/>
      <c r="KLP167"/>
      <c r="KLQ167"/>
      <c r="KLR167"/>
      <c r="KLS167"/>
      <c r="KLT167"/>
      <c r="KLU167"/>
      <c r="KLV167"/>
      <c r="KLW167"/>
      <c r="KLX167"/>
      <c r="KLY167"/>
      <c r="KLZ167"/>
      <c r="KMA167"/>
      <c r="KMB167"/>
      <c r="KMC167"/>
      <c r="KMD167"/>
      <c r="KME167"/>
      <c r="KMF167"/>
      <c r="KMG167"/>
      <c r="KMH167"/>
      <c r="KMI167"/>
      <c r="KMJ167"/>
      <c r="KMK167"/>
      <c r="KML167"/>
      <c r="KMM167"/>
      <c r="KMN167"/>
      <c r="KMO167"/>
      <c r="KMP167"/>
      <c r="KMQ167"/>
      <c r="KMR167"/>
      <c r="KMS167"/>
      <c r="KMT167"/>
      <c r="KMU167"/>
      <c r="KMV167"/>
      <c r="KMW167"/>
      <c r="KMX167"/>
      <c r="KMY167"/>
      <c r="KMZ167"/>
      <c r="KNA167"/>
      <c r="KNB167"/>
      <c r="KNC167"/>
      <c r="KND167"/>
      <c r="KNE167"/>
      <c r="KNF167"/>
      <c r="KNG167"/>
      <c r="KNH167"/>
      <c r="KNI167"/>
      <c r="KNJ167"/>
      <c r="KNK167"/>
      <c r="KNL167"/>
      <c r="KNM167"/>
      <c r="KNN167"/>
      <c r="KNO167"/>
      <c r="KNP167"/>
      <c r="KNQ167"/>
      <c r="KNR167"/>
      <c r="KNS167"/>
      <c r="KNT167"/>
      <c r="KNU167"/>
      <c r="KNV167"/>
      <c r="KNW167"/>
      <c r="KNX167"/>
      <c r="KNY167"/>
      <c r="KNZ167"/>
      <c r="KOA167"/>
      <c r="KOB167"/>
      <c r="KOC167"/>
      <c r="KOD167"/>
      <c r="KOE167"/>
      <c r="KOF167"/>
      <c r="KOG167"/>
      <c r="KOH167"/>
      <c r="KOI167"/>
      <c r="KOJ167"/>
      <c r="KOK167"/>
      <c r="KOL167"/>
      <c r="KOM167"/>
      <c r="KON167"/>
      <c r="KOO167"/>
      <c r="KOP167"/>
      <c r="KOQ167"/>
      <c r="KOR167"/>
      <c r="KOS167"/>
      <c r="KOT167"/>
      <c r="KOU167"/>
      <c r="KOV167"/>
      <c r="KOW167"/>
      <c r="KOX167"/>
      <c r="KOY167"/>
      <c r="KOZ167"/>
      <c r="KPA167"/>
      <c r="KPB167"/>
      <c r="KPC167"/>
      <c r="KPD167"/>
      <c r="KPE167"/>
      <c r="KPF167"/>
      <c r="KPG167"/>
      <c r="KPH167"/>
      <c r="KPI167"/>
      <c r="KPJ167"/>
      <c r="KPK167"/>
      <c r="KPL167"/>
      <c r="KPM167"/>
      <c r="KPN167"/>
      <c r="KPO167"/>
      <c r="KPP167"/>
      <c r="KPQ167"/>
      <c r="KPR167"/>
      <c r="KPS167"/>
      <c r="KPT167"/>
      <c r="KPU167"/>
      <c r="KPV167"/>
      <c r="KPW167"/>
      <c r="KPX167"/>
      <c r="KPY167"/>
      <c r="KPZ167"/>
      <c r="KQA167"/>
      <c r="KQB167"/>
      <c r="KQC167"/>
      <c r="KQD167"/>
      <c r="KQE167"/>
      <c r="KQF167"/>
      <c r="KQG167"/>
      <c r="KQH167"/>
      <c r="KQI167"/>
      <c r="KQJ167"/>
      <c r="KQK167"/>
      <c r="KQL167"/>
      <c r="KQM167"/>
      <c r="KQN167"/>
      <c r="KQO167"/>
      <c r="KQP167"/>
      <c r="KQQ167"/>
      <c r="KQR167"/>
      <c r="KQS167"/>
      <c r="KQT167"/>
      <c r="KQU167"/>
      <c r="KQV167"/>
      <c r="KQW167"/>
      <c r="KQX167"/>
      <c r="KQY167"/>
      <c r="KQZ167"/>
      <c r="KRA167"/>
      <c r="KRB167"/>
      <c r="KRC167"/>
      <c r="KRD167"/>
      <c r="KRE167"/>
      <c r="KRF167"/>
      <c r="KRG167"/>
      <c r="KRH167"/>
      <c r="KRI167"/>
      <c r="KRJ167"/>
      <c r="KRK167"/>
      <c r="KRL167"/>
      <c r="KRM167"/>
      <c r="KRN167"/>
      <c r="KRO167"/>
      <c r="KRP167"/>
      <c r="KRQ167"/>
      <c r="KRR167"/>
      <c r="KRS167"/>
      <c r="KRT167"/>
      <c r="KRU167"/>
      <c r="KRV167"/>
      <c r="KRW167"/>
      <c r="KRX167"/>
      <c r="KRY167"/>
      <c r="KRZ167"/>
      <c r="KSA167"/>
      <c r="KSB167"/>
      <c r="KSC167"/>
      <c r="KSD167"/>
      <c r="KSE167"/>
      <c r="KSF167"/>
      <c r="KSG167"/>
      <c r="KSH167"/>
      <c r="KSI167"/>
      <c r="KSJ167"/>
      <c r="KSK167"/>
      <c r="KSL167"/>
      <c r="KSM167"/>
      <c r="KSN167"/>
      <c r="KSO167"/>
      <c r="KSP167"/>
      <c r="KSQ167"/>
      <c r="KSR167"/>
      <c r="KSS167"/>
      <c r="KST167"/>
      <c r="KSU167"/>
      <c r="KSV167"/>
      <c r="KSW167"/>
      <c r="KSX167"/>
      <c r="KSY167"/>
      <c r="KSZ167"/>
      <c r="KTA167"/>
      <c r="KTB167"/>
      <c r="KTC167"/>
      <c r="KTD167"/>
      <c r="KTE167"/>
      <c r="KTF167"/>
      <c r="KTG167"/>
      <c r="KTH167"/>
      <c r="KTI167"/>
      <c r="KTJ167"/>
      <c r="KTK167"/>
      <c r="KTL167"/>
      <c r="KTM167"/>
      <c r="KTN167"/>
      <c r="KTO167"/>
      <c r="KTP167"/>
      <c r="KTQ167"/>
      <c r="KTR167"/>
      <c r="KTS167"/>
      <c r="KTT167"/>
      <c r="KTU167"/>
      <c r="KTV167"/>
      <c r="KTW167"/>
      <c r="KTX167"/>
      <c r="KTY167"/>
      <c r="KTZ167"/>
      <c r="KUA167"/>
      <c r="KUB167"/>
      <c r="KUC167"/>
      <c r="KUD167"/>
      <c r="KUE167"/>
      <c r="KUF167"/>
      <c r="KUG167"/>
      <c r="KUH167"/>
      <c r="KUI167"/>
      <c r="KUJ167"/>
      <c r="KUK167"/>
      <c r="KUL167"/>
      <c r="KUM167"/>
      <c r="KUN167"/>
      <c r="KUO167"/>
      <c r="KUP167"/>
      <c r="KUQ167"/>
      <c r="KUR167"/>
      <c r="KUS167"/>
      <c r="KUT167"/>
      <c r="KUU167"/>
      <c r="KUV167"/>
      <c r="KUW167"/>
      <c r="KUX167"/>
      <c r="KUY167"/>
      <c r="KUZ167"/>
      <c r="KVA167"/>
      <c r="KVB167"/>
      <c r="KVC167"/>
      <c r="KVD167"/>
      <c r="KVE167"/>
      <c r="KVF167"/>
      <c r="KVG167"/>
      <c r="KVH167"/>
      <c r="KVI167"/>
      <c r="KVJ167"/>
      <c r="KVK167"/>
      <c r="KVL167"/>
      <c r="KVM167"/>
      <c r="KVN167"/>
      <c r="KVO167"/>
      <c r="KVP167"/>
      <c r="KVQ167"/>
      <c r="KVR167"/>
      <c r="KVS167"/>
      <c r="KVT167"/>
      <c r="KVU167"/>
      <c r="KVV167"/>
      <c r="KVW167"/>
      <c r="KVX167"/>
      <c r="KVY167"/>
      <c r="KVZ167"/>
      <c r="KWA167"/>
      <c r="KWB167"/>
      <c r="KWC167"/>
      <c r="KWD167"/>
      <c r="KWE167"/>
      <c r="KWF167"/>
      <c r="KWG167"/>
      <c r="KWH167"/>
      <c r="KWI167"/>
      <c r="KWJ167"/>
      <c r="KWK167"/>
      <c r="KWL167"/>
      <c r="KWM167"/>
      <c r="KWN167"/>
      <c r="KWO167"/>
      <c r="KWP167"/>
      <c r="KWQ167"/>
      <c r="KWR167"/>
      <c r="KWS167"/>
      <c r="KWT167"/>
      <c r="KWU167"/>
      <c r="KWV167"/>
      <c r="KWW167"/>
      <c r="KWX167"/>
      <c r="KWY167"/>
      <c r="KWZ167"/>
      <c r="KXA167"/>
      <c r="KXB167"/>
      <c r="KXC167"/>
      <c r="KXD167"/>
      <c r="KXE167"/>
      <c r="KXF167"/>
      <c r="KXG167"/>
      <c r="KXH167"/>
      <c r="KXI167"/>
      <c r="KXJ167"/>
      <c r="KXK167"/>
      <c r="KXL167"/>
      <c r="KXM167"/>
      <c r="KXN167"/>
      <c r="KXO167"/>
      <c r="KXP167"/>
      <c r="KXQ167"/>
      <c r="KXR167"/>
      <c r="KXS167"/>
      <c r="KXT167"/>
      <c r="KXU167"/>
      <c r="KXV167"/>
      <c r="KXW167"/>
      <c r="KXX167"/>
      <c r="KXY167"/>
      <c r="KXZ167"/>
      <c r="KYA167"/>
      <c r="KYB167"/>
      <c r="KYC167"/>
      <c r="KYD167"/>
      <c r="KYE167"/>
      <c r="KYF167"/>
      <c r="KYG167"/>
      <c r="KYH167"/>
      <c r="KYI167"/>
      <c r="KYJ167"/>
      <c r="KYK167"/>
      <c r="KYL167"/>
      <c r="KYM167"/>
      <c r="KYN167"/>
      <c r="KYO167"/>
      <c r="KYP167"/>
      <c r="KYQ167"/>
      <c r="KYR167"/>
      <c r="KYS167"/>
      <c r="KYT167"/>
      <c r="KYU167"/>
      <c r="KYV167"/>
      <c r="KYW167"/>
      <c r="KYX167"/>
      <c r="KYY167"/>
      <c r="KYZ167"/>
      <c r="KZA167"/>
      <c r="KZB167"/>
      <c r="KZC167"/>
      <c r="KZD167"/>
      <c r="KZE167"/>
      <c r="KZF167"/>
      <c r="KZG167"/>
      <c r="KZH167"/>
      <c r="KZI167"/>
      <c r="KZJ167"/>
      <c r="KZK167"/>
      <c r="KZL167"/>
      <c r="KZM167"/>
      <c r="KZN167"/>
      <c r="KZO167"/>
      <c r="KZP167"/>
      <c r="KZQ167"/>
      <c r="KZR167"/>
      <c r="KZS167"/>
      <c r="KZT167"/>
      <c r="KZU167"/>
      <c r="KZV167"/>
      <c r="KZW167"/>
      <c r="KZX167"/>
      <c r="KZY167"/>
      <c r="KZZ167"/>
      <c r="LAA167"/>
      <c r="LAB167"/>
      <c r="LAC167"/>
      <c r="LAD167"/>
      <c r="LAE167"/>
      <c r="LAF167"/>
      <c r="LAG167"/>
      <c r="LAH167"/>
      <c r="LAI167"/>
      <c r="LAJ167"/>
      <c r="LAK167"/>
      <c r="LAL167"/>
      <c r="LAM167"/>
      <c r="LAN167"/>
      <c r="LAO167"/>
      <c r="LAP167"/>
      <c r="LAQ167"/>
      <c r="LAR167"/>
      <c r="LAS167"/>
      <c r="LAT167"/>
      <c r="LAU167"/>
      <c r="LAV167"/>
      <c r="LAW167"/>
      <c r="LAX167"/>
      <c r="LAY167"/>
      <c r="LAZ167"/>
      <c r="LBA167"/>
      <c r="LBB167"/>
      <c r="LBC167"/>
      <c r="LBD167"/>
      <c r="LBE167"/>
      <c r="LBF167"/>
      <c r="LBG167"/>
      <c r="LBH167"/>
      <c r="LBI167"/>
      <c r="LBJ167"/>
      <c r="LBK167"/>
      <c r="LBL167"/>
      <c r="LBM167"/>
      <c r="LBN167"/>
      <c r="LBO167"/>
      <c r="LBP167"/>
      <c r="LBQ167"/>
      <c r="LBR167"/>
      <c r="LBS167"/>
      <c r="LBT167"/>
      <c r="LBU167"/>
      <c r="LBV167"/>
      <c r="LBW167"/>
      <c r="LBX167"/>
      <c r="LBY167"/>
      <c r="LBZ167"/>
      <c r="LCA167"/>
      <c r="LCB167"/>
      <c r="LCC167"/>
      <c r="LCD167"/>
      <c r="LCE167"/>
      <c r="LCF167"/>
      <c r="LCG167"/>
      <c r="LCH167"/>
      <c r="LCI167"/>
      <c r="LCJ167"/>
      <c r="LCK167"/>
      <c r="LCL167"/>
      <c r="LCM167"/>
      <c r="LCN167"/>
      <c r="LCO167"/>
      <c r="LCP167"/>
      <c r="LCQ167"/>
      <c r="LCR167"/>
      <c r="LCS167"/>
      <c r="LCT167"/>
      <c r="LCU167"/>
      <c r="LCV167"/>
      <c r="LCW167"/>
      <c r="LCX167"/>
      <c r="LCY167"/>
      <c r="LCZ167"/>
      <c r="LDA167"/>
      <c r="LDB167"/>
      <c r="LDC167"/>
      <c r="LDD167"/>
      <c r="LDE167"/>
      <c r="LDF167"/>
      <c r="LDG167"/>
      <c r="LDH167"/>
      <c r="LDI167"/>
      <c r="LDJ167"/>
      <c r="LDK167"/>
      <c r="LDL167"/>
      <c r="LDM167"/>
      <c r="LDN167"/>
      <c r="LDO167"/>
      <c r="LDP167"/>
      <c r="LDQ167"/>
      <c r="LDR167"/>
      <c r="LDS167"/>
      <c r="LDT167"/>
      <c r="LDU167"/>
      <c r="LDV167"/>
      <c r="LDW167"/>
      <c r="LDX167"/>
      <c r="LDY167"/>
      <c r="LDZ167"/>
      <c r="LEA167"/>
      <c r="LEB167"/>
      <c r="LEC167"/>
      <c r="LED167"/>
      <c r="LEE167"/>
      <c r="LEF167"/>
      <c r="LEG167"/>
      <c r="LEH167"/>
      <c r="LEI167"/>
      <c r="LEJ167"/>
      <c r="LEK167"/>
      <c r="LEL167"/>
      <c r="LEM167"/>
      <c r="LEN167"/>
      <c r="LEO167"/>
      <c r="LEP167"/>
      <c r="LEQ167"/>
      <c r="LER167"/>
      <c r="LES167"/>
      <c r="LET167"/>
      <c r="LEU167"/>
      <c r="LEV167"/>
      <c r="LEW167"/>
      <c r="LEX167"/>
      <c r="LEY167"/>
      <c r="LEZ167"/>
      <c r="LFA167"/>
      <c r="LFB167"/>
      <c r="LFC167"/>
      <c r="LFD167"/>
      <c r="LFE167"/>
      <c r="LFF167"/>
      <c r="LFG167"/>
      <c r="LFH167"/>
      <c r="LFI167"/>
      <c r="LFJ167"/>
      <c r="LFK167"/>
      <c r="LFL167"/>
      <c r="LFM167"/>
      <c r="LFN167"/>
      <c r="LFO167"/>
      <c r="LFP167"/>
      <c r="LFQ167"/>
      <c r="LFR167"/>
      <c r="LFS167"/>
      <c r="LFT167"/>
      <c r="LFU167"/>
      <c r="LFV167"/>
      <c r="LFW167"/>
      <c r="LFX167"/>
      <c r="LFY167"/>
      <c r="LFZ167"/>
      <c r="LGA167"/>
      <c r="LGB167"/>
      <c r="LGC167"/>
      <c r="LGD167"/>
      <c r="LGE167"/>
      <c r="LGF167"/>
      <c r="LGG167"/>
      <c r="LGH167"/>
      <c r="LGI167"/>
      <c r="LGJ167"/>
      <c r="LGK167"/>
      <c r="LGL167"/>
      <c r="LGM167"/>
      <c r="LGN167"/>
      <c r="LGO167"/>
      <c r="LGP167"/>
      <c r="LGQ167"/>
      <c r="LGR167"/>
      <c r="LGS167"/>
      <c r="LGT167"/>
      <c r="LGU167"/>
      <c r="LGV167"/>
      <c r="LGW167"/>
      <c r="LGX167"/>
      <c r="LGY167"/>
      <c r="LGZ167"/>
      <c r="LHA167"/>
      <c r="LHB167"/>
      <c r="LHC167"/>
      <c r="LHD167"/>
      <c r="LHE167"/>
      <c r="LHF167"/>
      <c r="LHG167"/>
      <c r="LHH167"/>
      <c r="LHI167"/>
      <c r="LHJ167"/>
      <c r="LHK167"/>
      <c r="LHL167"/>
      <c r="LHM167"/>
      <c r="LHN167"/>
      <c r="LHO167"/>
      <c r="LHP167"/>
      <c r="LHQ167"/>
      <c r="LHR167"/>
      <c r="LHS167"/>
      <c r="LHT167"/>
      <c r="LHU167"/>
      <c r="LHV167"/>
      <c r="LHW167"/>
      <c r="LHX167"/>
      <c r="LHY167"/>
      <c r="LHZ167"/>
      <c r="LIA167"/>
      <c r="LIB167"/>
      <c r="LIC167"/>
      <c r="LID167"/>
      <c r="LIE167"/>
      <c r="LIF167"/>
      <c r="LIG167"/>
      <c r="LIH167"/>
      <c r="LII167"/>
      <c r="LIJ167"/>
      <c r="LIK167"/>
      <c r="LIL167"/>
      <c r="LIM167"/>
      <c r="LIN167"/>
      <c r="LIO167"/>
      <c r="LIP167"/>
      <c r="LIQ167"/>
      <c r="LIR167"/>
      <c r="LIS167"/>
      <c r="LIT167"/>
      <c r="LIU167"/>
      <c r="LIV167"/>
      <c r="LIW167"/>
      <c r="LIX167"/>
      <c r="LIY167"/>
      <c r="LIZ167"/>
      <c r="LJA167"/>
      <c r="LJB167"/>
      <c r="LJC167"/>
      <c r="LJD167"/>
      <c r="LJE167"/>
      <c r="LJF167"/>
      <c r="LJG167"/>
      <c r="LJH167"/>
      <c r="LJI167"/>
      <c r="LJJ167"/>
      <c r="LJK167"/>
      <c r="LJL167"/>
      <c r="LJM167"/>
      <c r="LJN167"/>
      <c r="LJO167"/>
      <c r="LJP167"/>
      <c r="LJQ167"/>
      <c r="LJR167"/>
      <c r="LJS167"/>
      <c r="LJT167"/>
      <c r="LJU167"/>
      <c r="LJV167"/>
      <c r="LJW167"/>
      <c r="LJX167"/>
      <c r="LJY167"/>
      <c r="LJZ167"/>
      <c r="LKA167"/>
      <c r="LKB167"/>
      <c r="LKC167"/>
      <c r="LKD167"/>
      <c r="LKE167"/>
      <c r="LKF167"/>
      <c r="LKG167"/>
      <c r="LKH167"/>
      <c r="LKI167"/>
      <c r="LKJ167"/>
      <c r="LKK167"/>
      <c r="LKL167"/>
      <c r="LKM167"/>
      <c r="LKN167"/>
      <c r="LKO167"/>
      <c r="LKP167"/>
      <c r="LKQ167"/>
      <c r="LKR167"/>
      <c r="LKS167"/>
      <c r="LKT167"/>
      <c r="LKU167"/>
      <c r="LKV167"/>
      <c r="LKW167"/>
      <c r="LKX167"/>
      <c r="LKY167"/>
      <c r="LKZ167"/>
      <c r="LLA167"/>
      <c r="LLB167"/>
      <c r="LLC167"/>
      <c r="LLD167"/>
      <c r="LLE167"/>
      <c r="LLF167"/>
      <c r="LLG167"/>
      <c r="LLH167"/>
      <c r="LLI167"/>
      <c r="LLJ167"/>
      <c r="LLK167"/>
      <c r="LLL167"/>
      <c r="LLM167"/>
      <c r="LLN167"/>
      <c r="LLO167"/>
      <c r="LLP167"/>
      <c r="LLQ167"/>
      <c r="LLR167"/>
      <c r="LLS167"/>
      <c r="LLT167"/>
      <c r="LLU167"/>
      <c r="LLV167"/>
      <c r="LLW167"/>
      <c r="LLX167"/>
      <c r="LLY167"/>
      <c r="LLZ167"/>
      <c r="LMA167"/>
      <c r="LMB167"/>
      <c r="LMC167"/>
      <c r="LMD167"/>
      <c r="LME167"/>
      <c r="LMF167"/>
      <c r="LMG167"/>
      <c r="LMH167"/>
      <c r="LMI167"/>
      <c r="LMJ167"/>
      <c r="LMK167"/>
      <c r="LML167"/>
      <c r="LMM167"/>
      <c r="LMN167"/>
      <c r="LMO167"/>
      <c r="LMP167"/>
      <c r="LMQ167"/>
      <c r="LMR167"/>
      <c r="LMS167"/>
      <c r="LMT167"/>
      <c r="LMU167"/>
      <c r="LMV167"/>
      <c r="LMW167"/>
      <c r="LMX167"/>
      <c r="LMY167"/>
      <c r="LMZ167"/>
      <c r="LNA167"/>
      <c r="LNB167"/>
      <c r="LNC167"/>
      <c r="LND167"/>
      <c r="LNE167"/>
      <c r="LNF167"/>
      <c r="LNG167"/>
      <c r="LNH167"/>
      <c r="LNI167"/>
      <c r="LNJ167"/>
      <c r="LNK167"/>
      <c r="LNL167"/>
      <c r="LNM167"/>
      <c r="LNN167"/>
      <c r="LNO167"/>
      <c r="LNP167"/>
      <c r="LNQ167"/>
      <c r="LNR167"/>
      <c r="LNS167"/>
      <c r="LNT167"/>
      <c r="LNU167"/>
      <c r="LNV167"/>
      <c r="LNW167"/>
      <c r="LNX167"/>
      <c r="LNY167"/>
      <c r="LNZ167"/>
      <c r="LOA167"/>
      <c r="LOB167"/>
      <c r="LOC167"/>
      <c r="LOD167"/>
      <c r="LOE167"/>
      <c r="LOF167"/>
      <c r="LOG167"/>
      <c r="LOH167"/>
      <c r="LOI167"/>
      <c r="LOJ167"/>
      <c r="LOK167"/>
      <c r="LOL167"/>
      <c r="LOM167"/>
      <c r="LON167"/>
      <c r="LOO167"/>
      <c r="LOP167"/>
      <c r="LOQ167"/>
      <c r="LOR167"/>
      <c r="LOS167"/>
      <c r="LOT167"/>
      <c r="LOU167"/>
      <c r="LOV167"/>
      <c r="LOW167"/>
      <c r="LOX167"/>
      <c r="LOY167"/>
      <c r="LOZ167"/>
      <c r="LPA167"/>
      <c r="LPB167"/>
      <c r="LPC167"/>
      <c r="LPD167"/>
      <c r="LPE167"/>
      <c r="LPF167"/>
      <c r="LPG167"/>
      <c r="LPH167"/>
      <c r="LPI167"/>
      <c r="LPJ167"/>
      <c r="LPK167"/>
      <c r="LPL167"/>
      <c r="LPM167"/>
      <c r="LPN167"/>
      <c r="LPO167"/>
      <c r="LPP167"/>
      <c r="LPQ167"/>
      <c r="LPR167"/>
      <c r="LPS167"/>
      <c r="LPT167"/>
      <c r="LPU167"/>
      <c r="LPV167"/>
      <c r="LPW167"/>
      <c r="LPX167"/>
      <c r="LPY167"/>
      <c r="LPZ167"/>
      <c r="LQA167"/>
      <c r="LQB167"/>
      <c r="LQC167"/>
      <c r="LQD167"/>
      <c r="LQE167"/>
      <c r="LQF167"/>
      <c r="LQG167"/>
      <c r="LQH167"/>
      <c r="LQI167"/>
      <c r="LQJ167"/>
      <c r="LQK167"/>
      <c r="LQL167"/>
      <c r="LQM167"/>
      <c r="LQN167"/>
      <c r="LQO167"/>
      <c r="LQP167"/>
      <c r="LQQ167"/>
      <c r="LQR167"/>
      <c r="LQS167"/>
      <c r="LQT167"/>
      <c r="LQU167"/>
      <c r="LQV167"/>
      <c r="LQW167"/>
      <c r="LQX167"/>
      <c r="LQY167"/>
      <c r="LQZ167"/>
      <c r="LRA167"/>
      <c r="LRB167"/>
      <c r="LRC167"/>
      <c r="LRD167"/>
      <c r="LRE167"/>
      <c r="LRF167"/>
      <c r="LRG167"/>
      <c r="LRH167"/>
      <c r="LRI167"/>
      <c r="LRJ167"/>
      <c r="LRK167"/>
      <c r="LRL167"/>
      <c r="LRM167"/>
      <c r="LRN167"/>
      <c r="LRO167"/>
      <c r="LRP167"/>
      <c r="LRQ167"/>
      <c r="LRR167"/>
      <c r="LRS167"/>
      <c r="LRT167"/>
      <c r="LRU167"/>
      <c r="LRV167"/>
      <c r="LRW167"/>
      <c r="LRX167"/>
      <c r="LRY167"/>
      <c r="LRZ167"/>
      <c r="LSA167"/>
      <c r="LSB167"/>
      <c r="LSC167"/>
      <c r="LSD167"/>
      <c r="LSE167"/>
      <c r="LSF167"/>
      <c r="LSG167"/>
      <c r="LSH167"/>
      <c r="LSI167"/>
      <c r="LSJ167"/>
      <c r="LSK167"/>
      <c r="LSL167"/>
      <c r="LSM167"/>
      <c r="LSN167"/>
      <c r="LSO167"/>
      <c r="LSP167"/>
      <c r="LSQ167"/>
      <c r="LSR167"/>
      <c r="LSS167"/>
      <c r="LST167"/>
      <c r="LSU167"/>
      <c r="LSV167"/>
      <c r="LSW167"/>
      <c r="LSX167"/>
      <c r="LSY167"/>
      <c r="LSZ167"/>
      <c r="LTA167"/>
      <c r="LTB167"/>
      <c r="LTC167"/>
      <c r="LTD167"/>
      <c r="LTE167"/>
      <c r="LTF167"/>
      <c r="LTG167"/>
      <c r="LTH167"/>
      <c r="LTI167"/>
      <c r="LTJ167"/>
      <c r="LTK167"/>
      <c r="LTL167"/>
      <c r="LTM167"/>
      <c r="LTN167"/>
      <c r="LTO167"/>
      <c r="LTP167"/>
      <c r="LTQ167"/>
      <c r="LTR167"/>
      <c r="LTS167"/>
      <c r="LTT167"/>
      <c r="LTU167"/>
      <c r="LTV167"/>
      <c r="LTW167"/>
      <c r="LTX167"/>
      <c r="LTY167"/>
      <c r="LTZ167"/>
      <c r="LUA167"/>
      <c r="LUB167"/>
      <c r="LUC167"/>
      <c r="LUD167"/>
      <c r="LUE167"/>
      <c r="LUF167"/>
      <c r="LUG167"/>
      <c r="LUH167"/>
      <c r="LUI167"/>
      <c r="LUJ167"/>
      <c r="LUK167"/>
      <c r="LUL167"/>
      <c r="LUM167"/>
      <c r="LUN167"/>
      <c r="LUO167"/>
      <c r="LUP167"/>
      <c r="LUQ167"/>
      <c r="LUR167"/>
      <c r="LUS167"/>
      <c r="LUT167"/>
      <c r="LUU167"/>
      <c r="LUV167"/>
      <c r="LUW167"/>
      <c r="LUX167"/>
      <c r="LUY167"/>
      <c r="LUZ167"/>
      <c r="LVA167"/>
      <c r="LVB167"/>
      <c r="LVC167"/>
      <c r="LVD167"/>
      <c r="LVE167"/>
      <c r="LVF167"/>
      <c r="LVG167"/>
      <c r="LVH167"/>
      <c r="LVI167"/>
      <c r="LVJ167"/>
      <c r="LVK167"/>
      <c r="LVL167"/>
      <c r="LVM167"/>
      <c r="LVN167"/>
      <c r="LVO167"/>
      <c r="LVP167"/>
      <c r="LVQ167"/>
      <c r="LVR167"/>
      <c r="LVS167"/>
      <c r="LVT167"/>
      <c r="LVU167"/>
      <c r="LVV167"/>
      <c r="LVW167"/>
      <c r="LVX167"/>
      <c r="LVY167"/>
      <c r="LVZ167"/>
      <c r="LWA167"/>
      <c r="LWB167"/>
      <c r="LWC167"/>
      <c r="LWD167"/>
      <c r="LWE167"/>
      <c r="LWF167"/>
      <c r="LWG167"/>
      <c r="LWH167"/>
      <c r="LWI167"/>
      <c r="LWJ167"/>
      <c r="LWK167"/>
      <c r="LWL167"/>
      <c r="LWM167"/>
      <c r="LWN167"/>
      <c r="LWO167"/>
      <c r="LWP167"/>
      <c r="LWQ167"/>
      <c r="LWR167"/>
      <c r="LWS167"/>
      <c r="LWT167"/>
      <c r="LWU167"/>
      <c r="LWV167"/>
      <c r="LWW167"/>
      <c r="LWX167"/>
      <c r="LWY167"/>
      <c r="LWZ167"/>
      <c r="LXA167"/>
      <c r="LXB167"/>
      <c r="LXC167"/>
      <c r="LXD167"/>
      <c r="LXE167"/>
      <c r="LXF167"/>
      <c r="LXG167"/>
      <c r="LXH167"/>
      <c r="LXI167"/>
      <c r="LXJ167"/>
      <c r="LXK167"/>
      <c r="LXL167"/>
      <c r="LXM167"/>
      <c r="LXN167"/>
      <c r="LXO167"/>
      <c r="LXP167"/>
      <c r="LXQ167"/>
      <c r="LXR167"/>
      <c r="LXS167"/>
      <c r="LXT167"/>
      <c r="LXU167"/>
      <c r="LXV167"/>
      <c r="LXW167"/>
      <c r="LXX167"/>
      <c r="LXY167"/>
      <c r="LXZ167"/>
      <c r="LYA167"/>
      <c r="LYB167"/>
      <c r="LYC167"/>
      <c r="LYD167"/>
      <c r="LYE167"/>
      <c r="LYF167"/>
      <c r="LYG167"/>
      <c r="LYH167"/>
      <c r="LYI167"/>
      <c r="LYJ167"/>
      <c r="LYK167"/>
      <c r="LYL167"/>
      <c r="LYM167"/>
      <c r="LYN167"/>
      <c r="LYO167"/>
      <c r="LYP167"/>
      <c r="LYQ167"/>
      <c r="LYR167"/>
      <c r="LYS167"/>
      <c r="LYT167"/>
      <c r="LYU167"/>
      <c r="LYV167"/>
      <c r="LYW167"/>
      <c r="LYX167"/>
      <c r="LYY167"/>
      <c r="LYZ167"/>
      <c r="LZA167"/>
      <c r="LZB167"/>
      <c r="LZC167"/>
      <c r="LZD167"/>
      <c r="LZE167"/>
      <c r="LZF167"/>
      <c r="LZG167"/>
      <c r="LZH167"/>
      <c r="LZI167"/>
      <c r="LZJ167"/>
      <c r="LZK167"/>
      <c r="LZL167"/>
      <c r="LZM167"/>
      <c r="LZN167"/>
      <c r="LZO167"/>
      <c r="LZP167"/>
      <c r="LZQ167"/>
      <c r="LZR167"/>
      <c r="LZS167"/>
      <c r="LZT167"/>
      <c r="LZU167"/>
      <c r="LZV167"/>
      <c r="LZW167"/>
      <c r="LZX167"/>
      <c r="LZY167"/>
      <c r="LZZ167"/>
      <c r="MAA167"/>
      <c r="MAB167"/>
      <c r="MAC167"/>
      <c r="MAD167"/>
      <c r="MAE167"/>
      <c r="MAF167"/>
      <c r="MAG167"/>
      <c r="MAH167"/>
      <c r="MAI167"/>
      <c r="MAJ167"/>
      <c r="MAK167"/>
      <c r="MAL167"/>
      <c r="MAM167"/>
      <c r="MAN167"/>
      <c r="MAO167"/>
      <c r="MAP167"/>
      <c r="MAQ167"/>
      <c r="MAR167"/>
      <c r="MAS167"/>
      <c r="MAT167"/>
      <c r="MAU167"/>
      <c r="MAV167"/>
      <c r="MAW167"/>
      <c r="MAX167"/>
      <c r="MAY167"/>
      <c r="MAZ167"/>
      <c r="MBA167"/>
      <c r="MBB167"/>
      <c r="MBC167"/>
      <c r="MBD167"/>
      <c r="MBE167"/>
      <c r="MBF167"/>
      <c r="MBG167"/>
      <c r="MBH167"/>
      <c r="MBI167"/>
      <c r="MBJ167"/>
      <c r="MBK167"/>
      <c r="MBL167"/>
      <c r="MBM167"/>
      <c r="MBN167"/>
      <c r="MBO167"/>
      <c r="MBP167"/>
      <c r="MBQ167"/>
      <c r="MBR167"/>
      <c r="MBS167"/>
      <c r="MBT167"/>
      <c r="MBU167"/>
      <c r="MBV167"/>
      <c r="MBW167"/>
      <c r="MBX167"/>
      <c r="MBY167"/>
      <c r="MBZ167"/>
      <c r="MCA167"/>
      <c r="MCB167"/>
      <c r="MCC167"/>
      <c r="MCD167"/>
      <c r="MCE167"/>
      <c r="MCF167"/>
      <c r="MCG167"/>
      <c r="MCH167"/>
      <c r="MCI167"/>
      <c r="MCJ167"/>
      <c r="MCK167"/>
      <c r="MCL167"/>
      <c r="MCM167"/>
      <c r="MCN167"/>
      <c r="MCO167"/>
      <c r="MCP167"/>
      <c r="MCQ167"/>
      <c r="MCR167"/>
      <c r="MCS167"/>
      <c r="MCT167"/>
      <c r="MCU167"/>
      <c r="MCV167"/>
      <c r="MCW167"/>
      <c r="MCX167"/>
      <c r="MCY167"/>
      <c r="MCZ167"/>
      <c r="MDA167"/>
      <c r="MDB167"/>
      <c r="MDC167"/>
      <c r="MDD167"/>
      <c r="MDE167"/>
      <c r="MDF167"/>
      <c r="MDG167"/>
      <c r="MDH167"/>
      <c r="MDI167"/>
      <c r="MDJ167"/>
      <c r="MDK167"/>
      <c r="MDL167"/>
      <c r="MDM167"/>
      <c r="MDN167"/>
      <c r="MDO167"/>
      <c r="MDP167"/>
      <c r="MDQ167"/>
      <c r="MDR167"/>
      <c r="MDS167"/>
      <c r="MDT167"/>
      <c r="MDU167"/>
      <c r="MDV167"/>
      <c r="MDW167"/>
      <c r="MDX167"/>
      <c r="MDY167"/>
      <c r="MDZ167"/>
      <c r="MEA167"/>
      <c r="MEB167"/>
      <c r="MEC167"/>
      <c r="MED167"/>
      <c r="MEE167"/>
      <c r="MEF167"/>
      <c r="MEG167"/>
      <c r="MEH167"/>
      <c r="MEI167"/>
      <c r="MEJ167"/>
      <c r="MEK167"/>
      <c r="MEL167"/>
      <c r="MEM167"/>
      <c r="MEN167"/>
      <c r="MEO167"/>
      <c r="MEP167"/>
      <c r="MEQ167"/>
      <c r="MER167"/>
      <c r="MES167"/>
      <c r="MET167"/>
      <c r="MEU167"/>
      <c r="MEV167"/>
      <c r="MEW167"/>
      <c r="MEX167"/>
      <c r="MEY167"/>
      <c r="MEZ167"/>
      <c r="MFA167"/>
      <c r="MFB167"/>
      <c r="MFC167"/>
      <c r="MFD167"/>
      <c r="MFE167"/>
      <c r="MFF167"/>
      <c r="MFG167"/>
      <c r="MFH167"/>
      <c r="MFI167"/>
      <c r="MFJ167"/>
      <c r="MFK167"/>
      <c r="MFL167"/>
      <c r="MFM167"/>
      <c r="MFN167"/>
      <c r="MFO167"/>
      <c r="MFP167"/>
      <c r="MFQ167"/>
      <c r="MFR167"/>
      <c r="MFS167"/>
      <c r="MFT167"/>
      <c r="MFU167"/>
      <c r="MFV167"/>
      <c r="MFW167"/>
      <c r="MFX167"/>
      <c r="MFY167"/>
      <c r="MFZ167"/>
      <c r="MGA167"/>
      <c r="MGB167"/>
      <c r="MGC167"/>
      <c r="MGD167"/>
      <c r="MGE167"/>
      <c r="MGF167"/>
      <c r="MGG167"/>
      <c r="MGH167"/>
      <c r="MGI167"/>
      <c r="MGJ167"/>
      <c r="MGK167"/>
      <c r="MGL167"/>
      <c r="MGM167"/>
      <c r="MGN167"/>
      <c r="MGO167"/>
      <c r="MGP167"/>
      <c r="MGQ167"/>
      <c r="MGR167"/>
      <c r="MGS167"/>
      <c r="MGT167"/>
      <c r="MGU167"/>
      <c r="MGV167"/>
      <c r="MGW167"/>
      <c r="MGX167"/>
      <c r="MGY167"/>
      <c r="MGZ167"/>
      <c r="MHA167"/>
      <c r="MHB167"/>
      <c r="MHC167"/>
      <c r="MHD167"/>
      <c r="MHE167"/>
      <c r="MHF167"/>
      <c r="MHG167"/>
      <c r="MHH167"/>
      <c r="MHI167"/>
      <c r="MHJ167"/>
      <c r="MHK167"/>
      <c r="MHL167"/>
      <c r="MHM167"/>
      <c r="MHN167"/>
      <c r="MHO167"/>
      <c r="MHP167"/>
      <c r="MHQ167"/>
      <c r="MHR167"/>
      <c r="MHS167"/>
      <c r="MHT167"/>
      <c r="MHU167"/>
      <c r="MHV167"/>
      <c r="MHW167"/>
      <c r="MHX167"/>
      <c r="MHY167"/>
      <c r="MHZ167"/>
      <c r="MIA167"/>
      <c r="MIB167"/>
      <c r="MIC167"/>
      <c r="MID167"/>
      <c r="MIE167"/>
      <c r="MIF167"/>
      <c r="MIG167"/>
      <c r="MIH167"/>
      <c r="MII167"/>
      <c r="MIJ167"/>
      <c r="MIK167"/>
      <c r="MIL167"/>
      <c r="MIM167"/>
      <c r="MIN167"/>
      <c r="MIO167"/>
      <c r="MIP167"/>
      <c r="MIQ167"/>
      <c r="MIR167"/>
      <c r="MIS167"/>
      <c r="MIT167"/>
      <c r="MIU167"/>
      <c r="MIV167"/>
      <c r="MIW167"/>
      <c r="MIX167"/>
      <c r="MIY167"/>
      <c r="MIZ167"/>
      <c r="MJA167"/>
      <c r="MJB167"/>
      <c r="MJC167"/>
      <c r="MJD167"/>
      <c r="MJE167"/>
      <c r="MJF167"/>
      <c r="MJG167"/>
      <c r="MJH167"/>
      <c r="MJI167"/>
      <c r="MJJ167"/>
      <c r="MJK167"/>
      <c r="MJL167"/>
      <c r="MJM167"/>
      <c r="MJN167"/>
      <c r="MJO167"/>
      <c r="MJP167"/>
      <c r="MJQ167"/>
      <c r="MJR167"/>
      <c r="MJS167"/>
      <c r="MJT167"/>
      <c r="MJU167"/>
      <c r="MJV167"/>
      <c r="MJW167"/>
      <c r="MJX167"/>
      <c r="MJY167"/>
      <c r="MJZ167"/>
      <c r="MKA167"/>
      <c r="MKB167"/>
      <c r="MKC167"/>
      <c r="MKD167"/>
      <c r="MKE167"/>
      <c r="MKF167"/>
      <c r="MKG167"/>
      <c r="MKH167"/>
      <c r="MKI167"/>
      <c r="MKJ167"/>
      <c r="MKK167"/>
      <c r="MKL167"/>
      <c r="MKM167"/>
      <c r="MKN167"/>
      <c r="MKO167"/>
      <c r="MKP167"/>
      <c r="MKQ167"/>
      <c r="MKR167"/>
      <c r="MKS167"/>
      <c r="MKT167"/>
      <c r="MKU167"/>
      <c r="MKV167"/>
      <c r="MKW167"/>
      <c r="MKX167"/>
      <c r="MKY167"/>
      <c r="MKZ167"/>
      <c r="MLA167"/>
      <c r="MLB167"/>
      <c r="MLC167"/>
      <c r="MLD167"/>
      <c r="MLE167"/>
      <c r="MLF167"/>
      <c r="MLG167"/>
      <c r="MLH167"/>
      <c r="MLI167"/>
      <c r="MLJ167"/>
      <c r="MLK167"/>
      <c r="MLL167"/>
      <c r="MLM167"/>
      <c r="MLN167"/>
      <c r="MLO167"/>
      <c r="MLP167"/>
      <c r="MLQ167"/>
      <c r="MLR167"/>
      <c r="MLS167"/>
      <c r="MLT167"/>
      <c r="MLU167"/>
      <c r="MLV167"/>
      <c r="MLW167"/>
      <c r="MLX167"/>
      <c r="MLY167"/>
      <c r="MLZ167"/>
      <c r="MMA167"/>
      <c r="MMB167"/>
      <c r="MMC167"/>
      <c r="MMD167"/>
      <c r="MME167"/>
      <c r="MMF167"/>
      <c r="MMG167"/>
      <c r="MMH167"/>
      <c r="MMI167"/>
      <c r="MMJ167"/>
      <c r="MMK167"/>
      <c r="MML167"/>
      <c r="MMM167"/>
      <c r="MMN167"/>
      <c r="MMO167"/>
      <c r="MMP167"/>
      <c r="MMQ167"/>
      <c r="MMR167"/>
      <c r="MMS167"/>
      <c r="MMT167"/>
      <c r="MMU167"/>
      <c r="MMV167"/>
      <c r="MMW167"/>
      <c r="MMX167"/>
      <c r="MMY167"/>
      <c r="MMZ167"/>
      <c r="MNA167"/>
      <c r="MNB167"/>
      <c r="MNC167"/>
      <c r="MND167"/>
      <c r="MNE167"/>
      <c r="MNF167"/>
      <c r="MNG167"/>
      <c r="MNH167"/>
      <c r="MNI167"/>
      <c r="MNJ167"/>
      <c r="MNK167"/>
      <c r="MNL167"/>
      <c r="MNM167"/>
      <c r="MNN167"/>
      <c r="MNO167"/>
      <c r="MNP167"/>
      <c r="MNQ167"/>
      <c r="MNR167"/>
      <c r="MNS167"/>
      <c r="MNT167"/>
      <c r="MNU167"/>
      <c r="MNV167"/>
      <c r="MNW167"/>
      <c r="MNX167"/>
      <c r="MNY167"/>
      <c r="MNZ167"/>
      <c r="MOA167"/>
      <c r="MOB167"/>
      <c r="MOC167"/>
      <c r="MOD167"/>
      <c r="MOE167"/>
      <c r="MOF167"/>
      <c r="MOG167"/>
      <c r="MOH167"/>
      <c r="MOI167"/>
      <c r="MOJ167"/>
      <c r="MOK167"/>
      <c r="MOL167"/>
      <c r="MOM167"/>
      <c r="MON167"/>
      <c r="MOO167"/>
      <c r="MOP167"/>
      <c r="MOQ167"/>
      <c r="MOR167"/>
      <c r="MOS167"/>
      <c r="MOT167"/>
      <c r="MOU167"/>
      <c r="MOV167"/>
      <c r="MOW167"/>
      <c r="MOX167"/>
      <c r="MOY167"/>
      <c r="MOZ167"/>
      <c r="MPA167"/>
      <c r="MPB167"/>
      <c r="MPC167"/>
      <c r="MPD167"/>
      <c r="MPE167"/>
      <c r="MPF167"/>
      <c r="MPG167"/>
      <c r="MPH167"/>
      <c r="MPI167"/>
      <c r="MPJ167"/>
      <c r="MPK167"/>
      <c r="MPL167"/>
      <c r="MPM167"/>
      <c r="MPN167"/>
      <c r="MPO167"/>
      <c r="MPP167"/>
      <c r="MPQ167"/>
      <c r="MPR167"/>
      <c r="MPS167"/>
      <c r="MPT167"/>
      <c r="MPU167"/>
      <c r="MPV167"/>
      <c r="MPW167"/>
      <c r="MPX167"/>
      <c r="MPY167"/>
      <c r="MPZ167"/>
      <c r="MQA167"/>
      <c r="MQB167"/>
      <c r="MQC167"/>
      <c r="MQD167"/>
      <c r="MQE167"/>
      <c r="MQF167"/>
      <c r="MQG167"/>
      <c r="MQH167"/>
      <c r="MQI167"/>
      <c r="MQJ167"/>
      <c r="MQK167"/>
      <c r="MQL167"/>
      <c r="MQM167"/>
      <c r="MQN167"/>
      <c r="MQO167"/>
      <c r="MQP167"/>
      <c r="MQQ167"/>
      <c r="MQR167"/>
      <c r="MQS167"/>
      <c r="MQT167"/>
      <c r="MQU167"/>
      <c r="MQV167"/>
      <c r="MQW167"/>
      <c r="MQX167"/>
      <c r="MQY167"/>
      <c r="MQZ167"/>
      <c r="MRA167"/>
      <c r="MRB167"/>
      <c r="MRC167"/>
      <c r="MRD167"/>
      <c r="MRE167"/>
      <c r="MRF167"/>
      <c r="MRG167"/>
      <c r="MRH167"/>
      <c r="MRI167"/>
      <c r="MRJ167"/>
      <c r="MRK167"/>
      <c r="MRL167"/>
      <c r="MRM167"/>
      <c r="MRN167"/>
      <c r="MRO167"/>
      <c r="MRP167"/>
      <c r="MRQ167"/>
      <c r="MRR167"/>
      <c r="MRS167"/>
      <c r="MRT167"/>
      <c r="MRU167"/>
      <c r="MRV167"/>
      <c r="MRW167"/>
      <c r="MRX167"/>
      <c r="MRY167"/>
      <c r="MRZ167"/>
      <c r="MSA167"/>
      <c r="MSB167"/>
      <c r="MSC167"/>
      <c r="MSD167"/>
      <c r="MSE167"/>
      <c r="MSF167"/>
      <c r="MSG167"/>
      <c r="MSH167"/>
      <c r="MSI167"/>
      <c r="MSJ167"/>
      <c r="MSK167"/>
      <c r="MSL167"/>
      <c r="MSM167"/>
      <c r="MSN167"/>
      <c r="MSO167"/>
      <c r="MSP167"/>
      <c r="MSQ167"/>
      <c r="MSR167"/>
      <c r="MSS167"/>
      <c r="MST167"/>
      <c r="MSU167"/>
      <c r="MSV167"/>
      <c r="MSW167"/>
      <c r="MSX167"/>
      <c r="MSY167"/>
      <c r="MSZ167"/>
      <c r="MTA167"/>
      <c r="MTB167"/>
      <c r="MTC167"/>
      <c r="MTD167"/>
      <c r="MTE167"/>
      <c r="MTF167"/>
      <c r="MTG167"/>
      <c r="MTH167"/>
      <c r="MTI167"/>
      <c r="MTJ167"/>
      <c r="MTK167"/>
      <c r="MTL167"/>
      <c r="MTM167"/>
      <c r="MTN167"/>
      <c r="MTO167"/>
      <c r="MTP167"/>
      <c r="MTQ167"/>
      <c r="MTR167"/>
      <c r="MTS167"/>
      <c r="MTT167"/>
      <c r="MTU167"/>
      <c r="MTV167"/>
      <c r="MTW167"/>
      <c r="MTX167"/>
      <c r="MTY167"/>
      <c r="MTZ167"/>
      <c r="MUA167"/>
      <c r="MUB167"/>
      <c r="MUC167"/>
      <c r="MUD167"/>
      <c r="MUE167"/>
      <c r="MUF167"/>
      <c r="MUG167"/>
      <c r="MUH167"/>
      <c r="MUI167"/>
      <c r="MUJ167"/>
      <c r="MUK167"/>
      <c r="MUL167"/>
      <c r="MUM167"/>
      <c r="MUN167"/>
      <c r="MUO167"/>
      <c r="MUP167"/>
      <c r="MUQ167"/>
      <c r="MUR167"/>
      <c r="MUS167"/>
      <c r="MUT167"/>
      <c r="MUU167"/>
      <c r="MUV167"/>
      <c r="MUW167"/>
      <c r="MUX167"/>
      <c r="MUY167"/>
      <c r="MUZ167"/>
      <c r="MVA167"/>
      <c r="MVB167"/>
      <c r="MVC167"/>
      <c r="MVD167"/>
      <c r="MVE167"/>
      <c r="MVF167"/>
      <c r="MVG167"/>
      <c r="MVH167"/>
      <c r="MVI167"/>
      <c r="MVJ167"/>
      <c r="MVK167"/>
      <c r="MVL167"/>
      <c r="MVM167"/>
      <c r="MVN167"/>
      <c r="MVO167"/>
      <c r="MVP167"/>
      <c r="MVQ167"/>
      <c r="MVR167"/>
      <c r="MVS167"/>
      <c r="MVT167"/>
      <c r="MVU167"/>
      <c r="MVV167"/>
      <c r="MVW167"/>
      <c r="MVX167"/>
      <c r="MVY167"/>
      <c r="MVZ167"/>
      <c r="MWA167"/>
      <c r="MWB167"/>
      <c r="MWC167"/>
      <c r="MWD167"/>
      <c r="MWE167"/>
      <c r="MWF167"/>
      <c r="MWG167"/>
      <c r="MWH167"/>
      <c r="MWI167"/>
      <c r="MWJ167"/>
      <c r="MWK167"/>
      <c r="MWL167"/>
      <c r="MWM167"/>
      <c r="MWN167"/>
      <c r="MWO167"/>
      <c r="MWP167"/>
      <c r="MWQ167"/>
      <c r="MWR167"/>
      <c r="MWS167"/>
      <c r="MWT167"/>
      <c r="MWU167"/>
      <c r="MWV167"/>
      <c r="MWW167"/>
      <c r="MWX167"/>
      <c r="MWY167"/>
      <c r="MWZ167"/>
      <c r="MXA167"/>
      <c r="MXB167"/>
      <c r="MXC167"/>
      <c r="MXD167"/>
      <c r="MXE167"/>
      <c r="MXF167"/>
      <c r="MXG167"/>
      <c r="MXH167"/>
      <c r="MXI167"/>
      <c r="MXJ167"/>
      <c r="MXK167"/>
      <c r="MXL167"/>
      <c r="MXM167"/>
      <c r="MXN167"/>
      <c r="MXO167"/>
      <c r="MXP167"/>
      <c r="MXQ167"/>
      <c r="MXR167"/>
      <c r="MXS167"/>
      <c r="MXT167"/>
      <c r="MXU167"/>
      <c r="MXV167"/>
      <c r="MXW167"/>
      <c r="MXX167"/>
      <c r="MXY167"/>
      <c r="MXZ167"/>
      <c r="MYA167"/>
      <c r="MYB167"/>
      <c r="MYC167"/>
      <c r="MYD167"/>
      <c r="MYE167"/>
      <c r="MYF167"/>
      <c r="MYG167"/>
      <c r="MYH167"/>
      <c r="MYI167"/>
      <c r="MYJ167"/>
      <c r="MYK167"/>
      <c r="MYL167"/>
      <c r="MYM167"/>
      <c r="MYN167"/>
      <c r="MYO167"/>
      <c r="MYP167"/>
      <c r="MYQ167"/>
      <c r="MYR167"/>
      <c r="MYS167"/>
      <c r="MYT167"/>
      <c r="MYU167"/>
      <c r="MYV167"/>
      <c r="MYW167"/>
      <c r="MYX167"/>
      <c r="MYY167"/>
      <c r="MYZ167"/>
      <c r="MZA167"/>
      <c r="MZB167"/>
      <c r="MZC167"/>
      <c r="MZD167"/>
      <c r="MZE167"/>
      <c r="MZF167"/>
      <c r="MZG167"/>
      <c r="MZH167"/>
      <c r="MZI167"/>
      <c r="MZJ167"/>
      <c r="MZK167"/>
      <c r="MZL167"/>
      <c r="MZM167"/>
      <c r="MZN167"/>
      <c r="MZO167"/>
      <c r="MZP167"/>
      <c r="MZQ167"/>
      <c r="MZR167"/>
      <c r="MZS167"/>
      <c r="MZT167"/>
      <c r="MZU167"/>
      <c r="MZV167"/>
      <c r="MZW167"/>
      <c r="MZX167"/>
      <c r="MZY167"/>
      <c r="MZZ167"/>
      <c r="NAA167"/>
      <c r="NAB167"/>
      <c r="NAC167"/>
      <c r="NAD167"/>
      <c r="NAE167"/>
      <c r="NAF167"/>
      <c r="NAG167"/>
      <c r="NAH167"/>
      <c r="NAI167"/>
      <c r="NAJ167"/>
      <c r="NAK167"/>
      <c r="NAL167"/>
      <c r="NAM167"/>
      <c r="NAN167"/>
      <c r="NAO167"/>
      <c r="NAP167"/>
      <c r="NAQ167"/>
      <c r="NAR167"/>
      <c r="NAS167"/>
      <c r="NAT167"/>
      <c r="NAU167"/>
      <c r="NAV167"/>
      <c r="NAW167"/>
      <c r="NAX167"/>
      <c r="NAY167"/>
      <c r="NAZ167"/>
      <c r="NBA167"/>
      <c r="NBB167"/>
      <c r="NBC167"/>
      <c r="NBD167"/>
      <c r="NBE167"/>
      <c r="NBF167"/>
      <c r="NBG167"/>
      <c r="NBH167"/>
      <c r="NBI167"/>
      <c r="NBJ167"/>
      <c r="NBK167"/>
      <c r="NBL167"/>
      <c r="NBM167"/>
      <c r="NBN167"/>
      <c r="NBO167"/>
      <c r="NBP167"/>
      <c r="NBQ167"/>
      <c r="NBR167"/>
      <c r="NBS167"/>
      <c r="NBT167"/>
      <c r="NBU167"/>
      <c r="NBV167"/>
      <c r="NBW167"/>
      <c r="NBX167"/>
      <c r="NBY167"/>
      <c r="NBZ167"/>
      <c r="NCA167"/>
      <c r="NCB167"/>
      <c r="NCC167"/>
      <c r="NCD167"/>
      <c r="NCE167"/>
      <c r="NCF167"/>
      <c r="NCG167"/>
      <c r="NCH167"/>
      <c r="NCI167"/>
      <c r="NCJ167"/>
      <c r="NCK167"/>
      <c r="NCL167"/>
      <c r="NCM167"/>
      <c r="NCN167"/>
      <c r="NCO167"/>
      <c r="NCP167"/>
      <c r="NCQ167"/>
      <c r="NCR167"/>
      <c r="NCS167"/>
      <c r="NCT167"/>
      <c r="NCU167"/>
      <c r="NCV167"/>
      <c r="NCW167"/>
      <c r="NCX167"/>
      <c r="NCY167"/>
      <c r="NCZ167"/>
      <c r="NDA167"/>
      <c r="NDB167"/>
      <c r="NDC167"/>
      <c r="NDD167"/>
      <c r="NDE167"/>
      <c r="NDF167"/>
      <c r="NDG167"/>
      <c r="NDH167"/>
      <c r="NDI167"/>
      <c r="NDJ167"/>
      <c r="NDK167"/>
      <c r="NDL167"/>
      <c r="NDM167"/>
      <c r="NDN167"/>
      <c r="NDO167"/>
      <c r="NDP167"/>
      <c r="NDQ167"/>
      <c r="NDR167"/>
      <c r="NDS167"/>
      <c r="NDT167"/>
      <c r="NDU167"/>
      <c r="NDV167"/>
      <c r="NDW167"/>
      <c r="NDX167"/>
      <c r="NDY167"/>
      <c r="NDZ167"/>
      <c r="NEA167"/>
      <c r="NEB167"/>
      <c r="NEC167"/>
      <c r="NED167"/>
      <c r="NEE167"/>
      <c r="NEF167"/>
      <c r="NEG167"/>
      <c r="NEH167"/>
      <c r="NEI167"/>
      <c r="NEJ167"/>
      <c r="NEK167"/>
      <c r="NEL167"/>
      <c r="NEM167"/>
      <c r="NEN167"/>
      <c r="NEO167"/>
      <c r="NEP167"/>
      <c r="NEQ167"/>
      <c r="NER167"/>
      <c r="NES167"/>
      <c r="NET167"/>
      <c r="NEU167"/>
      <c r="NEV167"/>
      <c r="NEW167"/>
      <c r="NEX167"/>
      <c r="NEY167"/>
      <c r="NEZ167"/>
      <c r="NFA167"/>
      <c r="NFB167"/>
      <c r="NFC167"/>
      <c r="NFD167"/>
      <c r="NFE167"/>
      <c r="NFF167"/>
      <c r="NFG167"/>
      <c r="NFH167"/>
      <c r="NFI167"/>
      <c r="NFJ167"/>
      <c r="NFK167"/>
      <c r="NFL167"/>
      <c r="NFM167"/>
      <c r="NFN167"/>
      <c r="NFO167"/>
      <c r="NFP167"/>
      <c r="NFQ167"/>
      <c r="NFR167"/>
      <c r="NFS167"/>
      <c r="NFT167"/>
      <c r="NFU167"/>
      <c r="NFV167"/>
      <c r="NFW167"/>
      <c r="NFX167"/>
      <c r="NFY167"/>
      <c r="NFZ167"/>
      <c r="NGA167"/>
      <c r="NGB167"/>
      <c r="NGC167"/>
      <c r="NGD167"/>
      <c r="NGE167"/>
      <c r="NGF167"/>
      <c r="NGG167"/>
      <c r="NGH167"/>
      <c r="NGI167"/>
      <c r="NGJ167"/>
      <c r="NGK167"/>
      <c r="NGL167"/>
      <c r="NGM167"/>
      <c r="NGN167"/>
      <c r="NGO167"/>
      <c r="NGP167"/>
      <c r="NGQ167"/>
      <c r="NGR167"/>
      <c r="NGS167"/>
      <c r="NGT167"/>
      <c r="NGU167"/>
      <c r="NGV167"/>
      <c r="NGW167"/>
      <c r="NGX167"/>
      <c r="NGY167"/>
      <c r="NGZ167"/>
      <c r="NHA167"/>
      <c r="NHB167"/>
      <c r="NHC167"/>
      <c r="NHD167"/>
      <c r="NHE167"/>
      <c r="NHF167"/>
      <c r="NHG167"/>
      <c r="NHH167"/>
      <c r="NHI167"/>
      <c r="NHJ167"/>
      <c r="NHK167"/>
      <c r="NHL167"/>
      <c r="NHM167"/>
      <c r="NHN167"/>
      <c r="NHO167"/>
      <c r="NHP167"/>
      <c r="NHQ167"/>
      <c r="NHR167"/>
      <c r="NHS167"/>
      <c r="NHT167"/>
      <c r="NHU167"/>
      <c r="NHV167"/>
      <c r="NHW167"/>
      <c r="NHX167"/>
      <c r="NHY167"/>
      <c r="NHZ167"/>
      <c r="NIA167"/>
      <c r="NIB167"/>
      <c r="NIC167"/>
      <c r="NID167"/>
      <c r="NIE167"/>
      <c r="NIF167"/>
      <c r="NIG167"/>
      <c r="NIH167"/>
      <c r="NII167"/>
      <c r="NIJ167"/>
      <c r="NIK167"/>
      <c r="NIL167"/>
      <c r="NIM167"/>
      <c r="NIN167"/>
      <c r="NIO167"/>
      <c r="NIP167"/>
      <c r="NIQ167"/>
      <c r="NIR167"/>
      <c r="NIS167"/>
      <c r="NIT167"/>
      <c r="NIU167"/>
      <c r="NIV167"/>
      <c r="NIW167"/>
      <c r="NIX167"/>
      <c r="NIY167"/>
      <c r="NIZ167"/>
      <c r="NJA167"/>
      <c r="NJB167"/>
      <c r="NJC167"/>
      <c r="NJD167"/>
      <c r="NJE167"/>
      <c r="NJF167"/>
      <c r="NJG167"/>
      <c r="NJH167"/>
      <c r="NJI167"/>
      <c r="NJJ167"/>
      <c r="NJK167"/>
      <c r="NJL167"/>
      <c r="NJM167"/>
      <c r="NJN167"/>
      <c r="NJO167"/>
      <c r="NJP167"/>
      <c r="NJQ167"/>
      <c r="NJR167"/>
      <c r="NJS167"/>
      <c r="NJT167"/>
      <c r="NJU167"/>
      <c r="NJV167"/>
      <c r="NJW167"/>
      <c r="NJX167"/>
      <c r="NJY167"/>
      <c r="NJZ167"/>
      <c r="NKA167"/>
      <c r="NKB167"/>
      <c r="NKC167"/>
      <c r="NKD167"/>
      <c r="NKE167"/>
      <c r="NKF167"/>
      <c r="NKG167"/>
      <c r="NKH167"/>
      <c r="NKI167"/>
      <c r="NKJ167"/>
      <c r="NKK167"/>
      <c r="NKL167"/>
      <c r="NKM167"/>
      <c r="NKN167"/>
      <c r="NKO167"/>
      <c r="NKP167"/>
      <c r="NKQ167"/>
      <c r="NKR167"/>
      <c r="NKS167"/>
      <c r="NKT167"/>
      <c r="NKU167"/>
      <c r="NKV167"/>
      <c r="NKW167"/>
      <c r="NKX167"/>
      <c r="NKY167"/>
      <c r="NKZ167"/>
      <c r="NLA167"/>
      <c r="NLB167"/>
      <c r="NLC167"/>
      <c r="NLD167"/>
      <c r="NLE167"/>
      <c r="NLF167"/>
      <c r="NLG167"/>
      <c r="NLH167"/>
      <c r="NLI167"/>
      <c r="NLJ167"/>
      <c r="NLK167"/>
      <c r="NLL167"/>
      <c r="NLM167"/>
      <c r="NLN167"/>
      <c r="NLO167"/>
      <c r="NLP167"/>
      <c r="NLQ167"/>
      <c r="NLR167"/>
      <c r="NLS167"/>
      <c r="NLT167"/>
      <c r="NLU167"/>
      <c r="NLV167"/>
      <c r="NLW167"/>
      <c r="NLX167"/>
      <c r="NLY167"/>
      <c r="NLZ167"/>
      <c r="NMA167"/>
      <c r="NMB167"/>
      <c r="NMC167"/>
      <c r="NMD167"/>
      <c r="NME167"/>
      <c r="NMF167"/>
      <c r="NMG167"/>
      <c r="NMH167"/>
      <c r="NMI167"/>
      <c r="NMJ167"/>
      <c r="NMK167"/>
      <c r="NML167"/>
      <c r="NMM167"/>
      <c r="NMN167"/>
      <c r="NMO167"/>
      <c r="NMP167"/>
      <c r="NMQ167"/>
      <c r="NMR167"/>
      <c r="NMS167"/>
      <c r="NMT167"/>
      <c r="NMU167"/>
      <c r="NMV167"/>
      <c r="NMW167"/>
      <c r="NMX167"/>
      <c r="NMY167"/>
      <c r="NMZ167"/>
      <c r="NNA167"/>
      <c r="NNB167"/>
      <c r="NNC167"/>
      <c r="NND167"/>
      <c r="NNE167"/>
      <c r="NNF167"/>
      <c r="NNG167"/>
      <c r="NNH167"/>
      <c r="NNI167"/>
      <c r="NNJ167"/>
      <c r="NNK167"/>
      <c r="NNL167"/>
      <c r="NNM167"/>
      <c r="NNN167"/>
      <c r="NNO167"/>
      <c r="NNP167"/>
      <c r="NNQ167"/>
      <c r="NNR167"/>
      <c r="NNS167"/>
      <c r="NNT167"/>
      <c r="NNU167"/>
      <c r="NNV167"/>
      <c r="NNW167"/>
      <c r="NNX167"/>
      <c r="NNY167"/>
      <c r="NNZ167"/>
      <c r="NOA167"/>
      <c r="NOB167"/>
      <c r="NOC167"/>
      <c r="NOD167"/>
      <c r="NOE167"/>
      <c r="NOF167"/>
      <c r="NOG167"/>
      <c r="NOH167"/>
      <c r="NOI167"/>
      <c r="NOJ167"/>
      <c r="NOK167"/>
      <c r="NOL167"/>
      <c r="NOM167"/>
      <c r="NON167"/>
      <c r="NOO167"/>
      <c r="NOP167"/>
      <c r="NOQ167"/>
      <c r="NOR167"/>
      <c r="NOS167"/>
      <c r="NOT167"/>
      <c r="NOU167"/>
      <c r="NOV167"/>
      <c r="NOW167"/>
      <c r="NOX167"/>
      <c r="NOY167"/>
      <c r="NOZ167"/>
      <c r="NPA167"/>
      <c r="NPB167"/>
      <c r="NPC167"/>
      <c r="NPD167"/>
      <c r="NPE167"/>
      <c r="NPF167"/>
      <c r="NPG167"/>
      <c r="NPH167"/>
      <c r="NPI167"/>
      <c r="NPJ167"/>
      <c r="NPK167"/>
      <c r="NPL167"/>
      <c r="NPM167"/>
      <c r="NPN167"/>
      <c r="NPO167"/>
      <c r="NPP167"/>
      <c r="NPQ167"/>
      <c r="NPR167"/>
      <c r="NPS167"/>
      <c r="NPT167"/>
      <c r="NPU167"/>
      <c r="NPV167"/>
      <c r="NPW167"/>
      <c r="NPX167"/>
      <c r="NPY167"/>
      <c r="NPZ167"/>
      <c r="NQA167"/>
      <c r="NQB167"/>
      <c r="NQC167"/>
      <c r="NQD167"/>
      <c r="NQE167"/>
      <c r="NQF167"/>
      <c r="NQG167"/>
      <c r="NQH167"/>
      <c r="NQI167"/>
      <c r="NQJ167"/>
      <c r="NQK167"/>
      <c r="NQL167"/>
      <c r="NQM167"/>
      <c r="NQN167"/>
      <c r="NQO167"/>
      <c r="NQP167"/>
      <c r="NQQ167"/>
      <c r="NQR167"/>
      <c r="NQS167"/>
      <c r="NQT167"/>
      <c r="NQU167"/>
      <c r="NQV167"/>
      <c r="NQW167"/>
      <c r="NQX167"/>
      <c r="NQY167"/>
      <c r="NQZ167"/>
      <c r="NRA167"/>
      <c r="NRB167"/>
      <c r="NRC167"/>
      <c r="NRD167"/>
      <c r="NRE167"/>
      <c r="NRF167"/>
      <c r="NRG167"/>
      <c r="NRH167"/>
      <c r="NRI167"/>
      <c r="NRJ167"/>
      <c r="NRK167"/>
      <c r="NRL167"/>
      <c r="NRM167"/>
      <c r="NRN167"/>
      <c r="NRO167"/>
      <c r="NRP167"/>
      <c r="NRQ167"/>
      <c r="NRR167"/>
      <c r="NRS167"/>
      <c r="NRT167"/>
      <c r="NRU167"/>
      <c r="NRV167"/>
      <c r="NRW167"/>
      <c r="NRX167"/>
      <c r="NRY167"/>
      <c r="NRZ167"/>
      <c r="NSA167"/>
      <c r="NSB167"/>
      <c r="NSC167"/>
      <c r="NSD167"/>
      <c r="NSE167"/>
      <c r="NSF167"/>
      <c r="NSG167"/>
      <c r="NSH167"/>
      <c r="NSI167"/>
      <c r="NSJ167"/>
      <c r="NSK167"/>
      <c r="NSL167"/>
      <c r="NSM167"/>
      <c r="NSN167"/>
      <c r="NSO167"/>
      <c r="NSP167"/>
      <c r="NSQ167"/>
      <c r="NSR167"/>
      <c r="NSS167"/>
      <c r="NST167"/>
      <c r="NSU167"/>
      <c r="NSV167"/>
      <c r="NSW167"/>
      <c r="NSX167"/>
      <c r="NSY167"/>
      <c r="NSZ167"/>
      <c r="NTA167"/>
      <c r="NTB167"/>
      <c r="NTC167"/>
      <c r="NTD167"/>
      <c r="NTE167"/>
      <c r="NTF167"/>
      <c r="NTG167"/>
      <c r="NTH167"/>
      <c r="NTI167"/>
      <c r="NTJ167"/>
      <c r="NTK167"/>
      <c r="NTL167"/>
      <c r="NTM167"/>
      <c r="NTN167"/>
      <c r="NTO167"/>
      <c r="NTP167"/>
      <c r="NTQ167"/>
      <c r="NTR167"/>
      <c r="NTS167"/>
      <c r="NTT167"/>
      <c r="NTU167"/>
      <c r="NTV167"/>
      <c r="NTW167"/>
      <c r="NTX167"/>
      <c r="NTY167"/>
      <c r="NTZ167"/>
      <c r="NUA167"/>
      <c r="NUB167"/>
      <c r="NUC167"/>
      <c r="NUD167"/>
      <c r="NUE167"/>
      <c r="NUF167"/>
      <c r="NUG167"/>
      <c r="NUH167"/>
      <c r="NUI167"/>
      <c r="NUJ167"/>
      <c r="NUK167"/>
      <c r="NUL167"/>
      <c r="NUM167"/>
      <c r="NUN167"/>
      <c r="NUO167"/>
      <c r="NUP167"/>
      <c r="NUQ167"/>
      <c r="NUR167"/>
      <c r="NUS167"/>
      <c r="NUT167"/>
      <c r="NUU167"/>
      <c r="NUV167"/>
      <c r="NUW167"/>
      <c r="NUX167"/>
      <c r="NUY167"/>
      <c r="NUZ167"/>
      <c r="NVA167"/>
      <c r="NVB167"/>
      <c r="NVC167"/>
      <c r="NVD167"/>
      <c r="NVE167"/>
      <c r="NVF167"/>
      <c r="NVG167"/>
      <c r="NVH167"/>
      <c r="NVI167"/>
      <c r="NVJ167"/>
      <c r="NVK167"/>
      <c r="NVL167"/>
      <c r="NVM167"/>
      <c r="NVN167"/>
      <c r="NVO167"/>
      <c r="NVP167"/>
      <c r="NVQ167"/>
      <c r="NVR167"/>
      <c r="NVS167"/>
      <c r="NVT167"/>
      <c r="NVU167"/>
      <c r="NVV167"/>
      <c r="NVW167"/>
      <c r="NVX167"/>
      <c r="NVY167"/>
      <c r="NVZ167"/>
      <c r="NWA167"/>
      <c r="NWB167"/>
      <c r="NWC167"/>
      <c r="NWD167"/>
      <c r="NWE167"/>
      <c r="NWF167"/>
      <c r="NWG167"/>
      <c r="NWH167"/>
      <c r="NWI167"/>
      <c r="NWJ167"/>
      <c r="NWK167"/>
      <c r="NWL167"/>
      <c r="NWM167"/>
      <c r="NWN167"/>
      <c r="NWO167"/>
      <c r="NWP167"/>
      <c r="NWQ167"/>
      <c r="NWR167"/>
      <c r="NWS167"/>
      <c r="NWT167"/>
      <c r="NWU167"/>
      <c r="NWV167"/>
      <c r="NWW167"/>
      <c r="NWX167"/>
      <c r="NWY167"/>
      <c r="NWZ167"/>
      <c r="NXA167"/>
      <c r="NXB167"/>
      <c r="NXC167"/>
      <c r="NXD167"/>
      <c r="NXE167"/>
      <c r="NXF167"/>
      <c r="NXG167"/>
      <c r="NXH167"/>
      <c r="NXI167"/>
      <c r="NXJ167"/>
      <c r="NXK167"/>
      <c r="NXL167"/>
      <c r="NXM167"/>
      <c r="NXN167"/>
      <c r="NXO167"/>
      <c r="NXP167"/>
      <c r="NXQ167"/>
      <c r="NXR167"/>
      <c r="NXS167"/>
      <c r="NXT167"/>
      <c r="NXU167"/>
      <c r="NXV167"/>
      <c r="NXW167"/>
      <c r="NXX167"/>
      <c r="NXY167"/>
      <c r="NXZ167"/>
      <c r="NYA167"/>
      <c r="NYB167"/>
      <c r="NYC167"/>
      <c r="NYD167"/>
      <c r="NYE167"/>
      <c r="NYF167"/>
      <c r="NYG167"/>
      <c r="NYH167"/>
      <c r="NYI167"/>
      <c r="NYJ167"/>
      <c r="NYK167"/>
      <c r="NYL167"/>
      <c r="NYM167"/>
      <c r="NYN167"/>
      <c r="NYO167"/>
      <c r="NYP167"/>
      <c r="NYQ167"/>
      <c r="NYR167"/>
      <c r="NYS167"/>
      <c r="NYT167"/>
      <c r="NYU167"/>
      <c r="NYV167"/>
      <c r="NYW167"/>
      <c r="NYX167"/>
      <c r="NYY167"/>
      <c r="NYZ167"/>
      <c r="NZA167"/>
      <c r="NZB167"/>
      <c r="NZC167"/>
      <c r="NZD167"/>
      <c r="NZE167"/>
      <c r="NZF167"/>
      <c r="NZG167"/>
      <c r="NZH167"/>
      <c r="NZI167"/>
      <c r="NZJ167"/>
      <c r="NZK167"/>
      <c r="NZL167"/>
      <c r="NZM167"/>
      <c r="NZN167"/>
      <c r="NZO167"/>
      <c r="NZP167"/>
      <c r="NZQ167"/>
      <c r="NZR167"/>
      <c r="NZS167"/>
      <c r="NZT167"/>
      <c r="NZU167"/>
      <c r="NZV167"/>
      <c r="NZW167"/>
      <c r="NZX167"/>
      <c r="NZY167"/>
      <c r="NZZ167"/>
      <c r="OAA167"/>
      <c r="OAB167"/>
      <c r="OAC167"/>
      <c r="OAD167"/>
      <c r="OAE167"/>
      <c r="OAF167"/>
      <c r="OAG167"/>
      <c r="OAH167"/>
      <c r="OAI167"/>
      <c r="OAJ167"/>
      <c r="OAK167"/>
      <c r="OAL167"/>
      <c r="OAM167"/>
      <c r="OAN167"/>
      <c r="OAO167"/>
      <c r="OAP167"/>
      <c r="OAQ167"/>
      <c r="OAR167"/>
      <c r="OAS167"/>
      <c r="OAT167"/>
      <c r="OAU167"/>
      <c r="OAV167"/>
      <c r="OAW167"/>
      <c r="OAX167"/>
      <c r="OAY167"/>
      <c r="OAZ167"/>
      <c r="OBA167"/>
      <c r="OBB167"/>
      <c r="OBC167"/>
      <c r="OBD167"/>
      <c r="OBE167"/>
      <c r="OBF167"/>
      <c r="OBG167"/>
      <c r="OBH167"/>
      <c r="OBI167"/>
      <c r="OBJ167"/>
      <c r="OBK167"/>
      <c r="OBL167"/>
      <c r="OBM167"/>
      <c r="OBN167"/>
      <c r="OBO167"/>
      <c r="OBP167"/>
      <c r="OBQ167"/>
      <c r="OBR167"/>
      <c r="OBS167"/>
      <c r="OBT167"/>
      <c r="OBU167"/>
      <c r="OBV167"/>
      <c r="OBW167"/>
      <c r="OBX167"/>
      <c r="OBY167"/>
      <c r="OBZ167"/>
      <c r="OCA167"/>
      <c r="OCB167"/>
      <c r="OCC167"/>
      <c r="OCD167"/>
      <c r="OCE167"/>
      <c r="OCF167"/>
      <c r="OCG167"/>
      <c r="OCH167"/>
      <c r="OCI167"/>
      <c r="OCJ167"/>
      <c r="OCK167"/>
      <c r="OCL167"/>
      <c r="OCM167"/>
      <c r="OCN167"/>
      <c r="OCO167"/>
      <c r="OCP167"/>
      <c r="OCQ167"/>
      <c r="OCR167"/>
      <c r="OCS167"/>
      <c r="OCT167"/>
      <c r="OCU167"/>
      <c r="OCV167"/>
      <c r="OCW167"/>
      <c r="OCX167"/>
      <c r="OCY167"/>
      <c r="OCZ167"/>
      <c r="ODA167"/>
      <c r="ODB167"/>
      <c r="ODC167"/>
      <c r="ODD167"/>
      <c r="ODE167"/>
      <c r="ODF167"/>
      <c r="ODG167"/>
      <c r="ODH167"/>
      <c r="ODI167"/>
      <c r="ODJ167"/>
      <c r="ODK167"/>
      <c r="ODL167"/>
      <c r="ODM167"/>
      <c r="ODN167"/>
      <c r="ODO167"/>
      <c r="ODP167"/>
      <c r="ODQ167"/>
      <c r="ODR167"/>
      <c r="ODS167"/>
      <c r="ODT167"/>
      <c r="ODU167"/>
      <c r="ODV167"/>
      <c r="ODW167"/>
      <c r="ODX167"/>
      <c r="ODY167"/>
      <c r="ODZ167"/>
      <c r="OEA167"/>
      <c r="OEB167"/>
      <c r="OEC167"/>
      <c r="OED167"/>
      <c r="OEE167"/>
      <c r="OEF167"/>
      <c r="OEG167"/>
      <c r="OEH167"/>
      <c r="OEI167"/>
      <c r="OEJ167"/>
      <c r="OEK167"/>
      <c r="OEL167"/>
      <c r="OEM167"/>
      <c r="OEN167"/>
      <c r="OEO167"/>
      <c r="OEP167"/>
      <c r="OEQ167"/>
      <c r="OER167"/>
      <c r="OES167"/>
      <c r="OET167"/>
      <c r="OEU167"/>
      <c r="OEV167"/>
      <c r="OEW167"/>
      <c r="OEX167"/>
      <c r="OEY167"/>
      <c r="OEZ167"/>
      <c r="OFA167"/>
      <c r="OFB167"/>
      <c r="OFC167"/>
      <c r="OFD167"/>
      <c r="OFE167"/>
      <c r="OFF167"/>
      <c r="OFG167"/>
      <c r="OFH167"/>
      <c r="OFI167"/>
      <c r="OFJ167"/>
      <c r="OFK167"/>
      <c r="OFL167"/>
      <c r="OFM167"/>
      <c r="OFN167"/>
      <c r="OFO167"/>
      <c r="OFP167"/>
      <c r="OFQ167"/>
      <c r="OFR167"/>
      <c r="OFS167"/>
      <c r="OFT167"/>
      <c r="OFU167"/>
      <c r="OFV167"/>
      <c r="OFW167"/>
      <c r="OFX167"/>
      <c r="OFY167"/>
      <c r="OFZ167"/>
      <c r="OGA167"/>
      <c r="OGB167"/>
      <c r="OGC167"/>
      <c r="OGD167"/>
      <c r="OGE167"/>
      <c r="OGF167"/>
      <c r="OGG167"/>
      <c r="OGH167"/>
      <c r="OGI167"/>
      <c r="OGJ167"/>
      <c r="OGK167"/>
      <c r="OGL167"/>
      <c r="OGM167"/>
      <c r="OGN167"/>
      <c r="OGO167"/>
      <c r="OGP167"/>
      <c r="OGQ167"/>
      <c r="OGR167"/>
      <c r="OGS167"/>
      <c r="OGT167"/>
      <c r="OGU167"/>
      <c r="OGV167"/>
      <c r="OGW167"/>
      <c r="OGX167"/>
      <c r="OGY167"/>
      <c r="OGZ167"/>
      <c r="OHA167"/>
      <c r="OHB167"/>
      <c r="OHC167"/>
      <c r="OHD167"/>
      <c r="OHE167"/>
      <c r="OHF167"/>
      <c r="OHG167"/>
      <c r="OHH167"/>
      <c r="OHI167"/>
      <c r="OHJ167"/>
      <c r="OHK167"/>
      <c r="OHL167"/>
      <c r="OHM167"/>
      <c r="OHN167"/>
      <c r="OHO167"/>
      <c r="OHP167"/>
      <c r="OHQ167"/>
      <c r="OHR167"/>
      <c r="OHS167"/>
      <c r="OHT167"/>
      <c r="OHU167"/>
      <c r="OHV167"/>
      <c r="OHW167"/>
      <c r="OHX167"/>
      <c r="OHY167"/>
      <c r="OHZ167"/>
      <c r="OIA167"/>
      <c r="OIB167"/>
      <c r="OIC167"/>
      <c r="OID167"/>
      <c r="OIE167"/>
      <c r="OIF167"/>
      <c r="OIG167"/>
      <c r="OIH167"/>
      <c r="OII167"/>
      <c r="OIJ167"/>
      <c r="OIK167"/>
      <c r="OIL167"/>
      <c r="OIM167"/>
      <c r="OIN167"/>
      <c r="OIO167"/>
      <c r="OIP167"/>
      <c r="OIQ167"/>
      <c r="OIR167"/>
      <c r="OIS167"/>
      <c r="OIT167"/>
      <c r="OIU167"/>
      <c r="OIV167"/>
      <c r="OIW167"/>
      <c r="OIX167"/>
      <c r="OIY167"/>
      <c r="OIZ167"/>
      <c r="OJA167"/>
      <c r="OJB167"/>
      <c r="OJC167"/>
      <c r="OJD167"/>
      <c r="OJE167"/>
      <c r="OJF167"/>
      <c r="OJG167"/>
      <c r="OJH167"/>
      <c r="OJI167"/>
      <c r="OJJ167"/>
      <c r="OJK167"/>
      <c r="OJL167"/>
      <c r="OJM167"/>
      <c r="OJN167"/>
      <c r="OJO167"/>
      <c r="OJP167"/>
      <c r="OJQ167"/>
      <c r="OJR167"/>
      <c r="OJS167"/>
      <c r="OJT167"/>
      <c r="OJU167"/>
      <c r="OJV167"/>
      <c r="OJW167"/>
      <c r="OJX167"/>
      <c r="OJY167"/>
      <c r="OJZ167"/>
      <c r="OKA167"/>
      <c r="OKB167"/>
      <c r="OKC167"/>
      <c r="OKD167"/>
      <c r="OKE167"/>
      <c r="OKF167"/>
      <c r="OKG167"/>
      <c r="OKH167"/>
      <c r="OKI167"/>
      <c r="OKJ167"/>
      <c r="OKK167"/>
      <c r="OKL167"/>
      <c r="OKM167"/>
      <c r="OKN167"/>
      <c r="OKO167"/>
      <c r="OKP167"/>
      <c r="OKQ167"/>
      <c r="OKR167"/>
      <c r="OKS167"/>
      <c r="OKT167"/>
      <c r="OKU167"/>
      <c r="OKV167"/>
      <c r="OKW167"/>
      <c r="OKX167"/>
      <c r="OKY167"/>
      <c r="OKZ167"/>
      <c r="OLA167"/>
      <c r="OLB167"/>
      <c r="OLC167"/>
      <c r="OLD167"/>
      <c r="OLE167"/>
      <c r="OLF167"/>
      <c r="OLG167"/>
      <c r="OLH167"/>
      <c r="OLI167"/>
      <c r="OLJ167"/>
      <c r="OLK167"/>
      <c r="OLL167"/>
      <c r="OLM167"/>
      <c r="OLN167"/>
      <c r="OLO167"/>
      <c r="OLP167"/>
      <c r="OLQ167"/>
      <c r="OLR167"/>
      <c r="OLS167"/>
      <c r="OLT167"/>
      <c r="OLU167"/>
      <c r="OLV167"/>
      <c r="OLW167"/>
      <c r="OLX167"/>
      <c r="OLY167"/>
      <c r="OLZ167"/>
      <c r="OMA167"/>
      <c r="OMB167"/>
      <c r="OMC167"/>
      <c r="OMD167"/>
      <c r="OME167"/>
      <c r="OMF167"/>
      <c r="OMG167"/>
      <c r="OMH167"/>
      <c r="OMI167"/>
      <c r="OMJ167"/>
      <c r="OMK167"/>
      <c r="OML167"/>
      <c r="OMM167"/>
      <c r="OMN167"/>
      <c r="OMO167"/>
      <c r="OMP167"/>
      <c r="OMQ167"/>
      <c r="OMR167"/>
      <c r="OMS167"/>
      <c r="OMT167"/>
      <c r="OMU167"/>
      <c r="OMV167"/>
      <c r="OMW167"/>
      <c r="OMX167"/>
      <c r="OMY167"/>
      <c r="OMZ167"/>
      <c r="ONA167"/>
      <c r="ONB167"/>
      <c r="ONC167"/>
      <c r="OND167"/>
      <c r="ONE167"/>
      <c r="ONF167"/>
      <c r="ONG167"/>
      <c r="ONH167"/>
      <c r="ONI167"/>
      <c r="ONJ167"/>
      <c r="ONK167"/>
      <c r="ONL167"/>
      <c r="ONM167"/>
      <c r="ONN167"/>
      <c r="ONO167"/>
      <c r="ONP167"/>
      <c r="ONQ167"/>
      <c r="ONR167"/>
      <c r="ONS167"/>
      <c r="ONT167"/>
      <c r="ONU167"/>
      <c r="ONV167"/>
      <c r="ONW167"/>
      <c r="ONX167"/>
      <c r="ONY167"/>
      <c r="ONZ167"/>
      <c r="OOA167"/>
      <c r="OOB167"/>
      <c r="OOC167"/>
      <c r="OOD167"/>
      <c r="OOE167"/>
      <c r="OOF167"/>
      <c r="OOG167"/>
      <c r="OOH167"/>
      <c r="OOI167"/>
      <c r="OOJ167"/>
      <c r="OOK167"/>
      <c r="OOL167"/>
      <c r="OOM167"/>
      <c r="OON167"/>
      <c r="OOO167"/>
      <c r="OOP167"/>
      <c r="OOQ167"/>
      <c r="OOR167"/>
      <c r="OOS167"/>
      <c r="OOT167"/>
      <c r="OOU167"/>
      <c r="OOV167"/>
      <c r="OOW167"/>
      <c r="OOX167"/>
      <c r="OOY167"/>
      <c r="OOZ167"/>
      <c r="OPA167"/>
      <c r="OPB167"/>
      <c r="OPC167"/>
      <c r="OPD167"/>
      <c r="OPE167"/>
      <c r="OPF167"/>
      <c r="OPG167"/>
      <c r="OPH167"/>
      <c r="OPI167"/>
      <c r="OPJ167"/>
      <c r="OPK167"/>
      <c r="OPL167"/>
      <c r="OPM167"/>
      <c r="OPN167"/>
      <c r="OPO167"/>
      <c r="OPP167"/>
      <c r="OPQ167"/>
      <c r="OPR167"/>
      <c r="OPS167"/>
      <c r="OPT167"/>
      <c r="OPU167"/>
      <c r="OPV167"/>
      <c r="OPW167"/>
      <c r="OPX167"/>
      <c r="OPY167"/>
      <c r="OPZ167"/>
      <c r="OQA167"/>
      <c r="OQB167"/>
      <c r="OQC167"/>
      <c r="OQD167"/>
      <c r="OQE167"/>
      <c r="OQF167"/>
      <c r="OQG167"/>
      <c r="OQH167"/>
      <c r="OQI167"/>
      <c r="OQJ167"/>
      <c r="OQK167"/>
      <c r="OQL167"/>
      <c r="OQM167"/>
      <c r="OQN167"/>
      <c r="OQO167"/>
      <c r="OQP167"/>
      <c r="OQQ167"/>
      <c r="OQR167"/>
      <c r="OQS167"/>
      <c r="OQT167"/>
      <c r="OQU167"/>
      <c r="OQV167"/>
      <c r="OQW167"/>
      <c r="OQX167"/>
      <c r="OQY167"/>
      <c r="OQZ167"/>
      <c r="ORA167"/>
      <c r="ORB167"/>
      <c r="ORC167"/>
      <c r="ORD167"/>
      <c r="ORE167"/>
      <c r="ORF167"/>
      <c r="ORG167"/>
      <c r="ORH167"/>
      <c r="ORI167"/>
      <c r="ORJ167"/>
      <c r="ORK167"/>
      <c r="ORL167"/>
      <c r="ORM167"/>
      <c r="ORN167"/>
      <c r="ORO167"/>
      <c r="ORP167"/>
      <c r="ORQ167"/>
      <c r="ORR167"/>
      <c r="ORS167"/>
      <c r="ORT167"/>
      <c r="ORU167"/>
      <c r="ORV167"/>
      <c r="ORW167"/>
      <c r="ORX167"/>
      <c r="ORY167"/>
      <c r="ORZ167"/>
      <c r="OSA167"/>
      <c r="OSB167"/>
      <c r="OSC167"/>
      <c r="OSD167"/>
      <c r="OSE167"/>
      <c r="OSF167"/>
      <c r="OSG167"/>
      <c r="OSH167"/>
      <c r="OSI167"/>
      <c r="OSJ167"/>
      <c r="OSK167"/>
      <c r="OSL167"/>
      <c r="OSM167"/>
      <c r="OSN167"/>
      <c r="OSO167"/>
      <c r="OSP167"/>
      <c r="OSQ167"/>
      <c r="OSR167"/>
      <c r="OSS167"/>
      <c r="OST167"/>
      <c r="OSU167"/>
      <c r="OSV167"/>
      <c r="OSW167"/>
      <c r="OSX167"/>
      <c r="OSY167"/>
      <c r="OSZ167"/>
      <c r="OTA167"/>
      <c r="OTB167"/>
      <c r="OTC167"/>
      <c r="OTD167"/>
      <c r="OTE167"/>
      <c r="OTF167"/>
      <c r="OTG167"/>
      <c r="OTH167"/>
      <c r="OTI167"/>
      <c r="OTJ167"/>
      <c r="OTK167"/>
      <c r="OTL167"/>
      <c r="OTM167"/>
      <c r="OTN167"/>
      <c r="OTO167"/>
      <c r="OTP167"/>
      <c r="OTQ167"/>
      <c r="OTR167"/>
      <c r="OTS167"/>
      <c r="OTT167"/>
      <c r="OTU167"/>
      <c r="OTV167"/>
      <c r="OTW167"/>
      <c r="OTX167"/>
      <c r="OTY167"/>
      <c r="OTZ167"/>
      <c r="OUA167"/>
      <c r="OUB167"/>
      <c r="OUC167"/>
      <c r="OUD167"/>
      <c r="OUE167"/>
      <c r="OUF167"/>
      <c r="OUG167"/>
      <c r="OUH167"/>
      <c r="OUI167"/>
      <c r="OUJ167"/>
      <c r="OUK167"/>
      <c r="OUL167"/>
      <c r="OUM167"/>
      <c r="OUN167"/>
      <c r="OUO167"/>
      <c r="OUP167"/>
      <c r="OUQ167"/>
      <c r="OUR167"/>
      <c r="OUS167"/>
      <c r="OUT167"/>
      <c r="OUU167"/>
      <c r="OUV167"/>
      <c r="OUW167"/>
      <c r="OUX167"/>
      <c r="OUY167"/>
      <c r="OUZ167"/>
      <c r="OVA167"/>
      <c r="OVB167"/>
      <c r="OVC167"/>
      <c r="OVD167"/>
      <c r="OVE167"/>
      <c r="OVF167"/>
      <c r="OVG167"/>
      <c r="OVH167"/>
      <c r="OVI167"/>
      <c r="OVJ167"/>
      <c r="OVK167"/>
      <c r="OVL167"/>
      <c r="OVM167"/>
      <c r="OVN167"/>
      <c r="OVO167"/>
      <c r="OVP167"/>
      <c r="OVQ167"/>
      <c r="OVR167"/>
      <c r="OVS167"/>
      <c r="OVT167"/>
      <c r="OVU167"/>
      <c r="OVV167"/>
      <c r="OVW167"/>
      <c r="OVX167"/>
      <c r="OVY167"/>
      <c r="OVZ167"/>
      <c r="OWA167"/>
      <c r="OWB167"/>
      <c r="OWC167"/>
      <c r="OWD167"/>
      <c r="OWE167"/>
      <c r="OWF167"/>
      <c r="OWG167"/>
      <c r="OWH167"/>
      <c r="OWI167"/>
      <c r="OWJ167"/>
      <c r="OWK167"/>
      <c r="OWL167"/>
      <c r="OWM167"/>
      <c r="OWN167"/>
      <c r="OWO167"/>
      <c r="OWP167"/>
      <c r="OWQ167"/>
      <c r="OWR167"/>
      <c r="OWS167"/>
      <c r="OWT167"/>
      <c r="OWU167"/>
      <c r="OWV167"/>
      <c r="OWW167"/>
      <c r="OWX167"/>
      <c r="OWY167"/>
      <c r="OWZ167"/>
      <c r="OXA167"/>
      <c r="OXB167"/>
      <c r="OXC167"/>
      <c r="OXD167"/>
      <c r="OXE167"/>
      <c r="OXF167"/>
      <c r="OXG167"/>
      <c r="OXH167"/>
      <c r="OXI167"/>
      <c r="OXJ167"/>
      <c r="OXK167"/>
      <c r="OXL167"/>
      <c r="OXM167"/>
      <c r="OXN167"/>
      <c r="OXO167"/>
      <c r="OXP167"/>
      <c r="OXQ167"/>
      <c r="OXR167"/>
      <c r="OXS167"/>
      <c r="OXT167"/>
      <c r="OXU167"/>
      <c r="OXV167"/>
      <c r="OXW167"/>
      <c r="OXX167"/>
      <c r="OXY167"/>
      <c r="OXZ167"/>
      <c r="OYA167"/>
      <c r="OYB167"/>
      <c r="OYC167"/>
      <c r="OYD167"/>
      <c r="OYE167"/>
      <c r="OYF167"/>
      <c r="OYG167"/>
      <c r="OYH167"/>
      <c r="OYI167"/>
      <c r="OYJ167"/>
      <c r="OYK167"/>
      <c r="OYL167"/>
      <c r="OYM167"/>
      <c r="OYN167"/>
      <c r="OYO167"/>
      <c r="OYP167"/>
      <c r="OYQ167"/>
      <c r="OYR167"/>
      <c r="OYS167"/>
      <c r="OYT167"/>
      <c r="OYU167"/>
      <c r="OYV167"/>
      <c r="OYW167"/>
      <c r="OYX167"/>
      <c r="OYY167"/>
      <c r="OYZ167"/>
      <c r="OZA167"/>
      <c r="OZB167"/>
      <c r="OZC167"/>
      <c r="OZD167"/>
      <c r="OZE167"/>
      <c r="OZF167"/>
      <c r="OZG167"/>
      <c r="OZH167"/>
      <c r="OZI167"/>
      <c r="OZJ167"/>
      <c r="OZK167"/>
      <c r="OZL167"/>
      <c r="OZM167"/>
      <c r="OZN167"/>
      <c r="OZO167"/>
      <c r="OZP167"/>
      <c r="OZQ167"/>
      <c r="OZR167"/>
      <c r="OZS167"/>
      <c r="OZT167"/>
      <c r="OZU167"/>
      <c r="OZV167"/>
      <c r="OZW167"/>
      <c r="OZX167"/>
      <c r="OZY167"/>
      <c r="OZZ167"/>
      <c r="PAA167"/>
      <c r="PAB167"/>
      <c r="PAC167"/>
      <c r="PAD167"/>
      <c r="PAE167"/>
      <c r="PAF167"/>
      <c r="PAG167"/>
      <c r="PAH167"/>
      <c r="PAI167"/>
      <c r="PAJ167"/>
      <c r="PAK167"/>
      <c r="PAL167"/>
      <c r="PAM167"/>
      <c r="PAN167"/>
      <c r="PAO167"/>
      <c r="PAP167"/>
      <c r="PAQ167"/>
      <c r="PAR167"/>
      <c r="PAS167"/>
      <c r="PAT167"/>
      <c r="PAU167"/>
      <c r="PAV167"/>
      <c r="PAW167"/>
      <c r="PAX167"/>
      <c r="PAY167"/>
      <c r="PAZ167"/>
      <c r="PBA167"/>
      <c r="PBB167"/>
      <c r="PBC167"/>
      <c r="PBD167"/>
      <c r="PBE167"/>
      <c r="PBF167"/>
      <c r="PBG167"/>
      <c r="PBH167"/>
      <c r="PBI167"/>
      <c r="PBJ167"/>
      <c r="PBK167"/>
      <c r="PBL167"/>
      <c r="PBM167"/>
      <c r="PBN167"/>
      <c r="PBO167"/>
      <c r="PBP167"/>
      <c r="PBQ167"/>
      <c r="PBR167"/>
      <c r="PBS167"/>
      <c r="PBT167"/>
      <c r="PBU167"/>
      <c r="PBV167"/>
      <c r="PBW167"/>
      <c r="PBX167"/>
      <c r="PBY167"/>
      <c r="PBZ167"/>
      <c r="PCA167"/>
      <c r="PCB167"/>
      <c r="PCC167"/>
      <c r="PCD167"/>
      <c r="PCE167"/>
      <c r="PCF167"/>
      <c r="PCG167"/>
      <c r="PCH167"/>
      <c r="PCI167"/>
      <c r="PCJ167"/>
      <c r="PCK167"/>
      <c r="PCL167"/>
      <c r="PCM167"/>
      <c r="PCN167"/>
      <c r="PCO167"/>
      <c r="PCP167"/>
      <c r="PCQ167"/>
      <c r="PCR167"/>
      <c r="PCS167"/>
      <c r="PCT167"/>
      <c r="PCU167"/>
      <c r="PCV167"/>
      <c r="PCW167"/>
      <c r="PCX167"/>
      <c r="PCY167"/>
      <c r="PCZ167"/>
      <c r="PDA167"/>
      <c r="PDB167"/>
      <c r="PDC167"/>
      <c r="PDD167"/>
      <c r="PDE167"/>
      <c r="PDF167"/>
      <c r="PDG167"/>
      <c r="PDH167"/>
      <c r="PDI167"/>
      <c r="PDJ167"/>
      <c r="PDK167"/>
      <c r="PDL167"/>
      <c r="PDM167"/>
      <c r="PDN167"/>
      <c r="PDO167"/>
      <c r="PDP167"/>
      <c r="PDQ167"/>
      <c r="PDR167"/>
      <c r="PDS167"/>
      <c r="PDT167"/>
      <c r="PDU167"/>
      <c r="PDV167"/>
      <c r="PDW167"/>
      <c r="PDX167"/>
      <c r="PDY167"/>
      <c r="PDZ167"/>
      <c r="PEA167"/>
      <c r="PEB167"/>
      <c r="PEC167"/>
      <c r="PED167"/>
      <c r="PEE167"/>
      <c r="PEF167"/>
      <c r="PEG167"/>
      <c r="PEH167"/>
      <c r="PEI167"/>
      <c r="PEJ167"/>
      <c r="PEK167"/>
      <c r="PEL167"/>
      <c r="PEM167"/>
      <c r="PEN167"/>
      <c r="PEO167"/>
      <c r="PEP167"/>
      <c r="PEQ167"/>
      <c r="PER167"/>
      <c r="PES167"/>
      <c r="PET167"/>
      <c r="PEU167"/>
      <c r="PEV167"/>
      <c r="PEW167"/>
      <c r="PEX167"/>
      <c r="PEY167"/>
      <c r="PEZ167"/>
      <c r="PFA167"/>
      <c r="PFB167"/>
      <c r="PFC167"/>
      <c r="PFD167"/>
      <c r="PFE167"/>
      <c r="PFF167"/>
      <c r="PFG167"/>
      <c r="PFH167"/>
      <c r="PFI167"/>
      <c r="PFJ167"/>
      <c r="PFK167"/>
      <c r="PFL167"/>
      <c r="PFM167"/>
      <c r="PFN167"/>
      <c r="PFO167"/>
      <c r="PFP167"/>
      <c r="PFQ167"/>
      <c r="PFR167"/>
      <c r="PFS167"/>
      <c r="PFT167"/>
      <c r="PFU167"/>
      <c r="PFV167"/>
      <c r="PFW167"/>
      <c r="PFX167"/>
      <c r="PFY167"/>
      <c r="PFZ167"/>
      <c r="PGA167"/>
      <c r="PGB167"/>
      <c r="PGC167"/>
      <c r="PGD167"/>
      <c r="PGE167"/>
      <c r="PGF167"/>
      <c r="PGG167"/>
      <c r="PGH167"/>
      <c r="PGI167"/>
      <c r="PGJ167"/>
      <c r="PGK167"/>
      <c r="PGL167"/>
      <c r="PGM167"/>
      <c r="PGN167"/>
      <c r="PGO167"/>
      <c r="PGP167"/>
      <c r="PGQ167"/>
      <c r="PGR167"/>
      <c r="PGS167"/>
      <c r="PGT167"/>
      <c r="PGU167"/>
      <c r="PGV167"/>
      <c r="PGW167"/>
      <c r="PGX167"/>
      <c r="PGY167"/>
      <c r="PGZ167"/>
      <c r="PHA167"/>
      <c r="PHB167"/>
      <c r="PHC167"/>
      <c r="PHD167"/>
      <c r="PHE167"/>
      <c r="PHF167"/>
      <c r="PHG167"/>
      <c r="PHH167"/>
      <c r="PHI167"/>
      <c r="PHJ167"/>
      <c r="PHK167"/>
      <c r="PHL167"/>
      <c r="PHM167"/>
      <c r="PHN167"/>
      <c r="PHO167"/>
      <c r="PHP167"/>
      <c r="PHQ167"/>
      <c r="PHR167"/>
      <c r="PHS167"/>
      <c r="PHT167"/>
      <c r="PHU167"/>
      <c r="PHV167"/>
      <c r="PHW167"/>
      <c r="PHX167"/>
      <c r="PHY167"/>
      <c r="PHZ167"/>
      <c r="PIA167"/>
      <c r="PIB167"/>
      <c r="PIC167"/>
      <c r="PID167"/>
      <c r="PIE167"/>
      <c r="PIF167"/>
      <c r="PIG167"/>
      <c r="PIH167"/>
      <c r="PII167"/>
      <c r="PIJ167"/>
      <c r="PIK167"/>
      <c r="PIL167"/>
      <c r="PIM167"/>
      <c r="PIN167"/>
      <c r="PIO167"/>
      <c r="PIP167"/>
      <c r="PIQ167"/>
      <c r="PIR167"/>
      <c r="PIS167"/>
      <c r="PIT167"/>
      <c r="PIU167"/>
      <c r="PIV167"/>
      <c r="PIW167"/>
      <c r="PIX167"/>
      <c r="PIY167"/>
      <c r="PIZ167"/>
      <c r="PJA167"/>
      <c r="PJB167"/>
      <c r="PJC167"/>
      <c r="PJD167"/>
      <c r="PJE167"/>
      <c r="PJF167"/>
      <c r="PJG167"/>
      <c r="PJH167"/>
      <c r="PJI167"/>
      <c r="PJJ167"/>
      <c r="PJK167"/>
      <c r="PJL167"/>
      <c r="PJM167"/>
      <c r="PJN167"/>
      <c r="PJO167"/>
      <c r="PJP167"/>
      <c r="PJQ167"/>
      <c r="PJR167"/>
      <c r="PJS167"/>
      <c r="PJT167"/>
      <c r="PJU167"/>
      <c r="PJV167"/>
      <c r="PJW167"/>
      <c r="PJX167"/>
      <c r="PJY167"/>
      <c r="PJZ167"/>
      <c r="PKA167"/>
      <c r="PKB167"/>
      <c r="PKC167"/>
      <c r="PKD167"/>
      <c r="PKE167"/>
      <c r="PKF167"/>
      <c r="PKG167"/>
      <c r="PKH167"/>
      <c r="PKI167"/>
      <c r="PKJ167"/>
      <c r="PKK167"/>
      <c r="PKL167"/>
      <c r="PKM167"/>
      <c r="PKN167"/>
      <c r="PKO167"/>
      <c r="PKP167"/>
      <c r="PKQ167"/>
      <c r="PKR167"/>
      <c r="PKS167"/>
      <c r="PKT167"/>
      <c r="PKU167"/>
      <c r="PKV167"/>
      <c r="PKW167"/>
      <c r="PKX167"/>
      <c r="PKY167"/>
      <c r="PKZ167"/>
      <c r="PLA167"/>
      <c r="PLB167"/>
      <c r="PLC167"/>
      <c r="PLD167"/>
      <c r="PLE167"/>
      <c r="PLF167"/>
      <c r="PLG167"/>
      <c r="PLH167"/>
      <c r="PLI167"/>
      <c r="PLJ167"/>
      <c r="PLK167"/>
      <c r="PLL167"/>
      <c r="PLM167"/>
      <c r="PLN167"/>
      <c r="PLO167"/>
      <c r="PLP167"/>
      <c r="PLQ167"/>
      <c r="PLR167"/>
      <c r="PLS167"/>
      <c r="PLT167"/>
      <c r="PLU167"/>
      <c r="PLV167"/>
      <c r="PLW167"/>
      <c r="PLX167"/>
      <c r="PLY167"/>
      <c r="PLZ167"/>
      <c r="PMA167"/>
      <c r="PMB167"/>
      <c r="PMC167"/>
      <c r="PMD167"/>
      <c r="PME167"/>
      <c r="PMF167"/>
      <c r="PMG167"/>
      <c r="PMH167"/>
      <c r="PMI167"/>
      <c r="PMJ167"/>
      <c r="PMK167"/>
      <c r="PML167"/>
      <c r="PMM167"/>
      <c r="PMN167"/>
      <c r="PMO167"/>
      <c r="PMP167"/>
      <c r="PMQ167"/>
      <c r="PMR167"/>
      <c r="PMS167"/>
      <c r="PMT167"/>
      <c r="PMU167"/>
      <c r="PMV167"/>
      <c r="PMW167"/>
      <c r="PMX167"/>
      <c r="PMY167"/>
      <c r="PMZ167"/>
      <c r="PNA167"/>
      <c r="PNB167"/>
      <c r="PNC167"/>
      <c r="PND167"/>
      <c r="PNE167"/>
      <c r="PNF167"/>
      <c r="PNG167"/>
      <c r="PNH167"/>
      <c r="PNI167"/>
      <c r="PNJ167"/>
      <c r="PNK167"/>
      <c r="PNL167"/>
      <c r="PNM167"/>
      <c r="PNN167"/>
      <c r="PNO167"/>
      <c r="PNP167"/>
      <c r="PNQ167"/>
      <c r="PNR167"/>
      <c r="PNS167"/>
      <c r="PNT167"/>
      <c r="PNU167"/>
      <c r="PNV167"/>
      <c r="PNW167"/>
      <c r="PNX167"/>
      <c r="PNY167"/>
      <c r="PNZ167"/>
      <c r="POA167"/>
      <c r="POB167"/>
      <c r="POC167"/>
      <c r="POD167"/>
      <c r="POE167"/>
      <c r="POF167"/>
      <c r="POG167"/>
      <c r="POH167"/>
      <c r="POI167"/>
      <c r="POJ167"/>
      <c r="POK167"/>
      <c r="POL167"/>
      <c r="POM167"/>
      <c r="PON167"/>
      <c r="POO167"/>
      <c r="POP167"/>
      <c r="POQ167"/>
      <c r="POR167"/>
      <c r="POS167"/>
      <c r="POT167"/>
      <c r="POU167"/>
      <c r="POV167"/>
      <c r="POW167"/>
      <c r="POX167"/>
      <c r="POY167"/>
      <c r="POZ167"/>
      <c r="PPA167"/>
      <c r="PPB167"/>
      <c r="PPC167"/>
      <c r="PPD167"/>
      <c r="PPE167"/>
      <c r="PPF167"/>
      <c r="PPG167"/>
      <c r="PPH167"/>
      <c r="PPI167"/>
      <c r="PPJ167"/>
      <c r="PPK167"/>
      <c r="PPL167"/>
      <c r="PPM167"/>
      <c r="PPN167"/>
      <c r="PPO167"/>
      <c r="PPP167"/>
      <c r="PPQ167"/>
      <c r="PPR167"/>
      <c r="PPS167"/>
      <c r="PPT167"/>
      <c r="PPU167"/>
      <c r="PPV167"/>
      <c r="PPW167"/>
      <c r="PPX167"/>
      <c r="PPY167"/>
      <c r="PPZ167"/>
      <c r="PQA167"/>
      <c r="PQB167"/>
      <c r="PQC167"/>
      <c r="PQD167"/>
      <c r="PQE167"/>
      <c r="PQF167"/>
      <c r="PQG167"/>
      <c r="PQH167"/>
      <c r="PQI167"/>
      <c r="PQJ167"/>
      <c r="PQK167"/>
      <c r="PQL167"/>
      <c r="PQM167"/>
      <c r="PQN167"/>
      <c r="PQO167"/>
      <c r="PQP167"/>
      <c r="PQQ167"/>
      <c r="PQR167"/>
      <c r="PQS167"/>
      <c r="PQT167"/>
      <c r="PQU167"/>
      <c r="PQV167"/>
      <c r="PQW167"/>
      <c r="PQX167"/>
      <c r="PQY167"/>
      <c r="PQZ167"/>
      <c r="PRA167"/>
      <c r="PRB167"/>
      <c r="PRC167"/>
      <c r="PRD167"/>
      <c r="PRE167"/>
      <c r="PRF167"/>
      <c r="PRG167"/>
      <c r="PRH167"/>
      <c r="PRI167"/>
      <c r="PRJ167"/>
      <c r="PRK167"/>
      <c r="PRL167"/>
      <c r="PRM167"/>
      <c r="PRN167"/>
      <c r="PRO167"/>
      <c r="PRP167"/>
      <c r="PRQ167"/>
      <c r="PRR167"/>
      <c r="PRS167"/>
      <c r="PRT167"/>
      <c r="PRU167"/>
      <c r="PRV167"/>
      <c r="PRW167"/>
      <c r="PRX167"/>
      <c r="PRY167"/>
      <c r="PRZ167"/>
      <c r="PSA167"/>
      <c r="PSB167"/>
      <c r="PSC167"/>
      <c r="PSD167"/>
      <c r="PSE167"/>
      <c r="PSF167"/>
      <c r="PSG167"/>
      <c r="PSH167"/>
      <c r="PSI167"/>
      <c r="PSJ167"/>
      <c r="PSK167"/>
      <c r="PSL167"/>
      <c r="PSM167"/>
      <c r="PSN167"/>
      <c r="PSO167"/>
      <c r="PSP167"/>
      <c r="PSQ167"/>
      <c r="PSR167"/>
      <c r="PSS167"/>
      <c r="PST167"/>
      <c r="PSU167"/>
      <c r="PSV167"/>
      <c r="PSW167"/>
      <c r="PSX167"/>
      <c r="PSY167"/>
      <c r="PSZ167"/>
      <c r="PTA167"/>
      <c r="PTB167"/>
      <c r="PTC167"/>
      <c r="PTD167"/>
      <c r="PTE167"/>
      <c r="PTF167"/>
      <c r="PTG167"/>
      <c r="PTH167"/>
      <c r="PTI167"/>
      <c r="PTJ167"/>
      <c r="PTK167"/>
      <c r="PTL167"/>
      <c r="PTM167"/>
      <c r="PTN167"/>
      <c r="PTO167"/>
      <c r="PTP167"/>
      <c r="PTQ167"/>
      <c r="PTR167"/>
      <c r="PTS167"/>
      <c r="PTT167"/>
      <c r="PTU167"/>
      <c r="PTV167"/>
      <c r="PTW167"/>
      <c r="PTX167"/>
      <c r="PTY167"/>
      <c r="PTZ167"/>
      <c r="PUA167"/>
      <c r="PUB167"/>
      <c r="PUC167"/>
      <c r="PUD167"/>
      <c r="PUE167"/>
      <c r="PUF167"/>
      <c r="PUG167"/>
      <c r="PUH167"/>
      <c r="PUI167"/>
      <c r="PUJ167"/>
      <c r="PUK167"/>
      <c r="PUL167"/>
      <c r="PUM167"/>
      <c r="PUN167"/>
      <c r="PUO167"/>
      <c r="PUP167"/>
      <c r="PUQ167"/>
      <c r="PUR167"/>
      <c r="PUS167"/>
      <c r="PUT167"/>
      <c r="PUU167"/>
      <c r="PUV167"/>
      <c r="PUW167"/>
      <c r="PUX167"/>
      <c r="PUY167"/>
      <c r="PUZ167"/>
      <c r="PVA167"/>
      <c r="PVB167"/>
      <c r="PVC167"/>
      <c r="PVD167"/>
      <c r="PVE167"/>
      <c r="PVF167"/>
      <c r="PVG167"/>
      <c r="PVH167"/>
      <c r="PVI167"/>
      <c r="PVJ167"/>
      <c r="PVK167"/>
      <c r="PVL167"/>
      <c r="PVM167"/>
      <c r="PVN167"/>
      <c r="PVO167"/>
      <c r="PVP167"/>
      <c r="PVQ167"/>
      <c r="PVR167"/>
      <c r="PVS167"/>
      <c r="PVT167"/>
      <c r="PVU167"/>
      <c r="PVV167"/>
      <c r="PVW167"/>
      <c r="PVX167"/>
      <c r="PVY167"/>
      <c r="PVZ167"/>
      <c r="PWA167"/>
      <c r="PWB167"/>
      <c r="PWC167"/>
      <c r="PWD167"/>
      <c r="PWE167"/>
      <c r="PWF167"/>
      <c r="PWG167"/>
      <c r="PWH167"/>
      <c r="PWI167"/>
      <c r="PWJ167"/>
      <c r="PWK167"/>
      <c r="PWL167"/>
      <c r="PWM167"/>
      <c r="PWN167"/>
      <c r="PWO167"/>
      <c r="PWP167"/>
      <c r="PWQ167"/>
      <c r="PWR167"/>
      <c r="PWS167"/>
      <c r="PWT167"/>
      <c r="PWU167"/>
      <c r="PWV167"/>
      <c r="PWW167"/>
      <c r="PWX167"/>
      <c r="PWY167"/>
      <c r="PWZ167"/>
      <c r="PXA167"/>
      <c r="PXB167"/>
      <c r="PXC167"/>
      <c r="PXD167"/>
      <c r="PXE167"/>
      <c r="PXF167"/>
      <c r="PXG167"/>
      <c r="PXH167"/>
      <c r="PXI167"/>
      <c r="PXJ167"/>
      <c r="PXK167"/>
      <c r="PXL167"/>
      <c r="PXM167"/>
      <c r="PXN167"/>
      <c r="PXO167"/>
      <c r="PXP167"/>
      <c r="PXQ167"/>
      <c r="PXR167"/>
      <c r="PXS167"/>
      <c r="PXT167"/>
      <c r="PXU167"/>
      <c r="PXV167"/>
      <c r="PXW167"/>
      <c r="PXX167"/>
      <c r="PXY167"/>
      <c r="PXZ167"/>
      <c r="PYA167"/>
      <c r="PYB167"/>
      <c r="PYC167"/>
      <c r="PYD167"/>
      <c r="PYE167"/>
      <c r="PYF167"/>
      <c r="PYG167"/>
      <c r="PYH167"/>
      <c r="PYI167"/>
      <c r="PYJ167"/>
      <c r="PYK167"/>
      <c r="PYL167"/>
      <c r="PYM167"/>
      <c r="PYN167"/>
      <c r="PYO167"/>
      <c r="PYP167"/>
      <c r="PYQ167"/>
      <c r="PYR167"/>
      <c r="PYS167"/>
      <c r="PYT167"/>
      <c r="PYU167"/>
      <c r="PYV167"/>
      <c r="PYW167"/>
      <c r="PYX167"/>
      <c r="PYY167"/>
      <c r="PYZ167"/>
      <c r="PZA167"/>
      <c r="PZB167"/>
      <c r="PZC167"/>
      <c r="PZD167"/>
      <c r="PZE167"/>
      <c r="PZF167"/>
      <c r="PZG167"/>
      <c r="PZH167"/>
      <c r="PZI167"/>
      <c r="PZJ167"/>
      <c r="PZK167"/>
      <c r="PZL167"/>
      <c r="PZM167"/>
      <c r="PZN167"/>
      <c r="PZO167"/>
      <c r="PZP167"/>
      <c r="PZQ167"/>
      <c r="PZR167"/>
      <c r="PZS167"/>
      <c r="PZT167"/>
      <c r="PZU167"/>
      <c r="PZV167"/>
      <c r="PZW167"/>
      <c r="PZX167"/>
      <c r="PZY167"/>
      <c r="PZZ167"/>
      <c r="QAA167"/>
      <c r="QAB167"/>
      <c r="QAC167"/>
      <c r="QAD167"/>
      <c r="QAE167"/>
      <c r="QAF167"/>
      <c r="QAG167"/>
      <c r="QAH167"/>
      <c r="QAI167"/>
      <c r="QAJ167"/>
      <c r="QAK167"/>
      <c r="QAL167"/>
      <c r="QAM167"/>
      <c r="QAN167"/>
      <c r="QAO167"/>
      <c r="QAP167"/>
      <c r="QAQ167"/>
      <c r="QAR167"/>
      <c r="QAS167"/>
      <c r="QAT167"/>
      <c r="QAU167"/>
      <c r="QAV167"/>
      <c r="QAW167"/>
      <c r="QAX167"/>
      <c r="QAY167"/>
      <c r="QAZ167"/>
      <c r="QBA167"/>
      <c r="QBB167"/>
      <c r="QBC167"/>
      <c r="QBD167"/>
      <c r="QBE167"/>
      <c r="QBF167"/>
      <c r="QBG167"/>
      <c r="QBH167"/>
      <c r="QBI167"/>
      <c r="QBJ167"/>
      <c r="QBK167"/>
      <c r="QBL167"/>
      <c r="QBM167"/>
      <c r="QBN167"/>
      <c r="QBO167"/>
      <c r="QBP167"/>
      <c r="QBQ167"/>
      <c r="QBR167"/>
      <c r="QBS167"/>
      <c r="QBT167"/>
      <c r="QBU167"/>
      <c r="QBV167"/>
      <c r="QBW167"/>
      <c r="QBX167"/>
      <c r="QBY167"/>
      <c r="QBZ167"/>
      <c r="QCA167"/>
      <c r="QCB167"/>
      <c r="QCC167"/>
      <c r="QCD167"/>
      <c r="QCE167"/>
      <c r="QCF167"/>
      <c r="QCG167"/>
      <c r="QCH167"/>
      <c r="QCI167"/>
      <c r="QCJ167"/>
      <c r="QCK167"/>
      <c r="QCL167"/>
      <c r="QCM167"/>
      <c r="QCN167"/>
      <c r="QCO167"/>
      <c r="QCP167"/>
      <c r="QCQ167"/>
      <c r="QCR167"/>
      <c r="QCS167"/>
      <c r="QCT167"/>
      <c r="QCU167"/>
      <c r="QCV167"/>
      <c r="QCW167"/>
      <c r="QCX167"/>
      <c r="QCY167"/>
      <c r="QCZ167"/>
      <c r="QDA167"/>
      <c r="QDB167"/>
      <c r="QDC167"/>
      <c r="QDD167"/>
      <c r="QDE167"/>
      <c r="QDF167"/>
      <c r="QDG167"/>
      <c r="QDH167"/>
      <c r="QDI167"/>
      <c r="QDJ167"/>
      <c r="QDK167"/>
      <c r="QDL167"/>
      <c r="QDM167"/>
      <c r="QDN167"/>
      <c r="QDO167"/>
      <c r="QDP167"/>
      <c r="QDQ167"/>
      <c r="QDR167"/>
      <c r="QDS167"/>
      <c r="QDT167"/>
      <c r="QDU167"/>
      <c r="QDV167"/>
      <c r="QDW167"/>
      <c r="QDX167"/>
      <c r="QDY167"/>
      <c r="QDZ167"/>
      <c r="QEA167"/>
      <c r="QEB167"/>
      <c r="QEC167"/>
      <c r="QED167"/>
      <c r="QEE167"/>
      <c r="QEF167"/>
      <c r="QEG167"/>
      <c r="QEH167"/>
      <c r="QEI167"/>
      <c r="QEJ167"/>
      <c r="QEK167"/>
      <c r="QEL167"/>
      <c r="QEM167"/>
      <c r="QEN167"/>
      <c r="QEO167"/>
      <c r="QEP167"/>
      <c r="QEQ167"/>
      <c r="QER167"/>
      <c r="QES167"/>
      <c r="QET167"/>
      <c r="QEU167"/>
      <c r="QEV167"/>
      <c r="QEW167"/>
      <c r="QEX167"/>
      <c r="QEY167"/>
      <c r="QEZ167"/>
      <c r="QFA167"/>
      <c r="QFB167"/>
      <c r="QFC167"/>
      <c r="QFD167"/>
      <c r="QFE167"/>
      <c r="QFF167"/>
      <c r="QFG167"/>
      <c r="QFH167"/>
      <c r="QFI167"/>
      <c r="QFJ167"/>
      <c r="QFK167"/>
      <c r="QFL167"/>
      <c r="QFM167"/>
      <c r="QFN167"/>
      <c r="QFO167"/>
      <c r="QFP167"/>
      <c r="QFQ167"/>
      <c r="QFR167"/>
      <c r="QFS167"/>
      <c r="QFT167"/>
      <c r="QFU167"/>
      <c r="QFV167"/>
      <c r="QFW167"/>
      <c r="QFX167"/>
      <c r="QFY167"/>
      <c r="QFZ167"/>
      <c r="QGA167"/>
      <c r="QGB167"/>
      <c r="QGC167"/>
      <c r="QGD167"/>
      <c r="QGE167"/>
      <c r="QGF167"/>
      <c r="QGG167"/>
      <c r="QGH167"/>
      <c r="QGI167"/>
      <c r="QGJ167"/>
      <c r="QGK167"/>
      <c r="QGL167"/>
      <c r="QGM167"/>
      <c r="QGN167"/>
      <c r="QGO167"/>
      <c r="QGP167"/>
      <c r="QGQ167"/>
      <c r="QGR167"/>
      <c r="QGS167"/>
      <c r="QGT167"/>
      <c r="QGU167"/>
      <c r="QGV167"/>
      <c r="QGW167"/>
      <c r="QGX167"/>
      <c r="QGY167"/>
      <c r="QGZ167"/>
      <c r="QHA167"/>
      <c r="QHB167"/>
      <c r="QHC167"/>
      <c r="QHD167"/>
      <c r="QHE167"/>
      <c r="QHF167"/>
      <c r="QHG167"/>
      <c r="QHH167"/>
      <c r="QHI167"/>
      <c r="QHJ167"/>
      <c r="QHK167"/>
      <c r="QHL167"/>
      <c r="QHM167"/>
      <c r="QHN167"/>
      <c r="QHO167"/>
      <c r="QHP167"/>
      <c r="QHQ167"/>
      <c r="QHR167"/>
      <c r="QHS167"/>
      <c r="QHT167"/>
      <c r="QHU167"/>
      <c r="QHV167"/>
      <c r="QHW167"/>
      <c r="QHX167"/>
      <c r="QHY167"/>
      <c r="QHZ167"/>
      <c r="QIA167"/>
      <c r="QIB167"/>
      <c r="QIC167"/>
      <c r="QID167"/>
      <c r="QIE167"/>
      <c r="QIF167"/>
      <c r="QIG167"/>
      <c r="QIH167"/>
      <c r="QII167"/>
      <c r="QIJ167"/>
      <c r="QIK167"/>
      <c r="QIL167"/>
      <c r="QIM167"/>
      <c r="QIN167"/>
      <c r="QIO167"/>
      <c r="QIP167"/>
      <c r="QIQ167"/>
      <c r="QIR167"/>
      <c r="QIS167"/>
      <c r="QIT167"/>
      <c r="QIU167"/>
      <c r="QIV167"/>
      <c r="QIW167"/>
      <c r="QIX167"/>
      <c r="QIY167"/>
      <c r="QIZ167"/>
      <c r="QJA167"/>
      <c r="QJB167"/>
      <c r="QJC167"/>
      <c r="QJD167"/>
      <c r="QJE167"/>
      <c r="QJF167"/>
      <c r="QJG167"/>
      <c r="QJH167"/>
      <c r="QJI167"/>
      <c r="QJJ167"/>
      <c r="QJK167"/>
      <c r="QJL167"/>
      <c r="QJM167"/>
      <c r="QJN167"/>
      <c r="QJO167"/>
      <c r="QJP167"/>
      <c r="QJQ167"/>
      <c r="QJR167"/>
      <c r="QJS167"/>
      <c r="QJT167"/>
      <c r="QJU167"/>
      <c r="QJV167"/>
      <c r="QJW167"/>
      <c r="QJX167"/>
      <c r="QJY167"/>
      <c r="QJZ167"/>
      <c r="QKA167"/>
      <c r="QKB167"/>
      <c r="QKC167"/>
      <c r="QKD167"/>
      <c r="QKE167"/>
      <c r="QKF167"/>
      <c r="QKG167"/>
      <c r="QKH167"/>
      <c r="QKI167"/>
      <c r="QKJ167"/>
      <c r="QKK167"/>
      <c r="QKL167"/>
      <c r="QKM167"/>
      <c r="QKN167"/>
      <c r="QKO167"/>
      <c r="QKP167"/>
      <c r="QKQ167"/>
      <c r="QKR167"/>
      <c r="QKS167"/>
      <c r="QKT167"/>
      <c r="QKU167"/>
      <c r="QKV167"/>
      <c r="QKW167"/>
      <c r="QKX167"/>
      <c r="QKY167"/>
      <c r="QKZ167"/>
      <c r="QLA167"/>
      <c r="QLB167"/>
      <c r="QLC167"/>
      <c r="QLD167"/>
      <c r="QLE167"/>
      <c r="QLF167"/>
      <c r="QLG167"/>
      <c r="QLH167"/>
      <c r="QLI167"/>
      <c r="QLJ167"/>
      <c r="QLK167"/>
      <c r="QLL167"/>
      <c r="QLM167"/>
      <c r="QLN167"/>
      <c r="QLO167"/>
      <c r="QLP167"/>
      <c r="QLQ167"/>
      <c r="QLR167"/>
      <c r="QLS167"/>
      <c r="QLT167"/>
      <c r="QLU167"/>
      <c r="QLV167"/>
      <c r="QLW167"/>
      <c r="QLX167"/>
      <c r="QLY167"/>
      <c r="QLZ167"/>
      <c r="QMA167"/>
      <c r="QMB167"/>
      <c r="QMC167"/>
      <c r="QMD167"/>
      <c r="QME167"/>
      <c r="QMF167"/>
      <c r="QMG167"/>
      <c r="QMH167"/>
      <c r="QMI167"/>
      <c r="QMJ167"/>
      <c r="QMK167"/>
      <c r="QML167"/>
      <c r="QMM167"/>
      <c r="QMN167"/>
      <c r="QMO167"/>
      <c r="QMP167"/>
      <c r="QMQ167"/>
      <c r="QMR167"/>
      <c r="QMS167"/>
      <c r="QMT167"/>
      <c r="QMU167"/>
      <c r="QMV167"/>
      <c r="QMW167"/>
      <c r="QMX167"/>
      <c r="QMY167"/>
      <c r="QMZ167"/>
      <c r="QNA167"/>
      <c r="QNB167"/>
      <c r="QNC167"/>
      <c r="QND167"/>
      <c r="QNE167"/>
      <c r="QNF167"/>
      <c r="QNG167"/>
      <c r="QNH167"/>
      <c r="QNI167"/>
      <c r="QNJ167"/>
      <c r="QNK167"/>
      <c r="QNL167"/>
      <c r="QNM167"/>
      <c r="QNN167"/>
      <c r="QNO167"/>
      <c r="QNP167"/>
      <c r="QNQ167"/>
      <c r="QNR167"/>
      <c r="QNS167"/>
      <c r="QNT167"/>
      <c r="QNU167"/>
      <c r="QNV167"/>
      <c r="QNW167"/>
      <c r="QNX167"/>
      <c r="QNY167"/>
      <c r="QNZ167"/>
      <c r="QOA167"/>
      <c r="QOB167"/>
      <c r="QOC167"/>
      <c r="QOD167"/>
      <c r="QOE167"/>
      <c r="QOF167"/>
      <c r="QOG167"/>
      <c r="QOH167"/>
      <c r="QOI167"/>
      <c r="QOJ167"/>
      <c r="QOK167"/>
      <c r="QOL167"/>
      <c r="QOM167"/>
      <c r="QON167"/>
      <c r="QOO167"/>
      <c r="QOP167"/>
      <c r="QOQ167"/>
      <c r="QOR167"/>
      <c r="QOS167"/>
      <c r="QOT167"/>
      <c r="QOU167"/>
      <c r="QOV167"/>
      <c r="QOW167"/>
      <c r="QOX167"/>
      <c r="QOY167"/>
      <c r="QOZ167"/>
      <c r="QPA167"/>
      <c r="QPB167"/>
      <c r="QPC167"/>
      <c r="QPD167"/>
      <c r="QPE167"/>
      <c r="QPF167"/>
      <c r="QPG167"/>
      <c r="QPH167"/>
      <c r="QPI167"/>
      <c r="QPJ167"/>
      <c r="QPK167"/>
      <c r="QPL167"/>
      <c r="QPM167"/>
      <c r="QPN167"/>
      <c r="QPO167"/>
      <c r="QPP167"/>
      <c r="QPQ167"/>
      <c r="QPR167"/>
      <c r="QPS167"/>
      <c r="QPT167"/>
      <c r="QPU167"/>
      <c r="QPV167"/>
      <c r="QPW167"/>
      <c r="QPX167"/>
      <c r="QPY167"/>
      <c r="QPZ167"/>
      <c r="QQA167"/>
      <c r="QQB167"/>
      <c r="QQC167"/>
      <c r="QQD167"/>
      <c r="QQE167"/>
      <c r="QQF167"/>
      <c r="QQG167"/>
      <c r="QQH167"/>
      <c r="QQI167"/>
      <c r="QQJ167"/>
      <c r="QQK167"/>
      <c r="QQL167"/>
      <c r="QQM167"/>
      <c r="QQN167"/>
      <c r="QQO167"/>
      <c r="QQP167"/>
      <c r="QQQ167"/>
      <c r="QQR167"/>
      <c r="QQS167"/>
      <c r="QQT167"/>
      <c r="QQU167"/>
      <c r="QQV167"/>
      <c r="QQW167"/>
      <c r="QQX167"/>
      <c r="QQY167"/>
      <c r="QQZ167"/>
      <c r="QRA167"/>
      <c r="QRB167"/>
      <c r="QRC167"/>
      <c r="QRD167"/>
      <c r="QRE167"/>
      <c r="QRF167"/>
      <c r="QRG167"/>
      <c r="QRH167"/>
      <c r="QRI167"/>
      <c r="QRJ167"/>
      <c r="QRK167"/>
      <c r="QRL167"/>
      <c r="QRM167"/>
      <c r="QRN167"/>
      <c r="QRO167"/>
      <c r="QRP167"/>
      <c r="QRQ167"/>
      <c r="QRR167"/>
      <c r="QRS167"/>
      <c r="QRT167"/>
      <c r="QRU167"/>
      <c r="QRV167"/>
      <c r="QRW167"/>
      <c r="QRX167"/>
      <c r="QRY167"/>
      <c r="QRZ167"/>
      <c r="QSA167"/>
      <c r="QSB167"/>
      <c r="QSC167"/>
      <c r="QSD167"/>
      <c r="QSE167"/>
      <c r="QSF167"/>
      <c r="QSG167"/>
      <c r="QSH167"/>
      <c r="QSI167"/>
      <c r="QSJ167"/>
      <c r="QSK167"/>
      <c r="QSL167"/>
      <c r="QSM167"/>
      <c r="QSN167"/>
      <c r="QSO167"/>
      <c r="QSP167"/>
      <c r="QSQ167"/>
      <c r="QSR167"/>
      <c r="QSS167"/>
      <c r="QST167"/>
      <c r="QSU167"/>
      <c r="QSV167"/>
      <c r="QSW167"/>
      <c r="QSX167"/>
      <c r="QSY167"/>
      <c r="QSZ167"/>
      <c r="QTA167"/>
      <c r="QTB167"/>
      <c r="QTC167"/>
      <c r="QTD167"/>
      <c r="QTE167"/>
      <c r="QTF167"/>
      <c r="QTG167"/>
      <c r="QTH167"/>
      <c r="QTI167"/>
      <c r="QTJ167"/>
      <c r="QTK167"/>
      <c r="QTL167"/>
      <c r="QTM167"/>
      <c r="QTN167"/>
      <c r="QTO167"/>
      <c r="QTP167"/>
      <c r="QTQ167"/>
      <c r="QTR167"/>
      <c r="QTS167"/>
      <c r="QTT167"/>
      <c r="QTU167"/>
      <c r="QTV167"/>
      <c r="QTW167"/>
      <c r="QTX167"/>
      <c r="QTY167"/>
      <c r="QTZ167"/>
      <c r="QUA167"/>
      <c r="QUB167"/>
      <c r="QUC167"/>
      <c r="QUD167"/>
      <c r="QUE167"/>
      <c r="QUF167"/>
      <c r="QUG167"/>
      <c r="QUH167"/>
      <c r="QUI167"/>
      <c r="QUJ167"/>
      <c r="QUK167"/>
      <c r="QUL167"/>
      <c r="QUM167"/>
      <c r="QUN167"/>
      <c r="QUO167"/>
      <c r="QUP167"/>
      <c r="QUQ167"/>
      <c r="QUR167"/>
      <c r="QUS167"/>
      <c r="QUT167"/>
      <c r="QUU167"/>
      <c r="QUV167"/>
      <c r="QUW167"/>
      <c r="QUX167"/>
      <c r="QUY167"/>
      <c r="QUZ167"/>
      <c r="QVA167"/>
      <c r="QVB167"/>
      <c r="QVC167"/>
      <c r="QVD167"/>
      <c r="QVE167"/>
      <c r="QVF167"/>
      <c r="QVG167"/>
      <c r="QVH167"/>
      <c r="QVI167"/>
      <c r="QVJ167"/>
      <c r="QVK167"/>
      <c r="QVL167"/>
      <c r="QVM167"/>
      <c r="QVN167"/>
      <c r="QVO167"/>
      <c r="QVP167"/>
      <c r="QVQ167"/>
      <c r="QVR167"/>
      <c r="QVS167"/>
      <c r="QVT167"/>
      <c r="QVU167"/>
      <c r="QVV167"/>
      <c r="QVW167"/>
      <c r="QVX167"/>
      <c r="QVY167"/>
      <c r="QVZ167"/>
      <c r="QWA167"/>
      <c r="QWB167"/>
      <c r="QWC167"/>
      <c r="QWD167"/>
      <c r="QWE167"/>
      <c r="QWF167"/>
      <c r="QWG167"/>
      <c r="QWH167"/>
      <c r="QWI167"/>
      <c r="QWJ167"/>
      <c r="QWK167"/>
      <c r="QWL167"/>
      <c r="QWM167"/>
      <c r="QWN167"/>
      <c r="QWO167"/>
      <c r="QWP167"/>
      <c r="QWQ167"/>
      <c r="QWR167"/>
      <c r="QWS167"/>
      <c r="QWT167"/>
      <c r="QWU167"/>
      <c r="QWV167"/>
      <c r="QWW167"/>
      <c r="QWX167"/>
      <c r="QWY167"/>
      <c r="QWZ167"/>
      <c r="QXA167"/>
      <c r="QXB167"/>
      <c r="QXC167"/>
      <c r="QXD167"/>
      <c r="QXE167"/>
      <c r="QXF167"/>
      <c r="QXG167"/>
      <c r="QXH167"/>
      <c r="QXI167"/>
      <c r="QXJ167"/>
      <c r="QXK167"/>
      <c r="QXL167"/>
      <c r="QXM167"/>
      <c r="QXN167"/>
      <c r="QXO167"/>
      <c r="QXP167"/>
      <c r="QXQ167"/>
      <c r="QXR167"/>
      <c r="QXS167"/>
      <c r="QXT167"/>
      <c r="QXU167"/>
      <c r="QXV167"/>
      <c r="QXW167"/>
      <c r="QXX167"/>
      <c r="QXY167"/>
      <c r="QXZ167"/>
      <c r="QYA167"/>
      <c r="QYB167"/>
      <c r="QYC167"/>
      <c r="QYD167"/>
      <c r="QYE167"/>
      <c r="QYF167"/>
      <c r="QYG167"/>
      <c r="QYH167"/>
      <c r="QYI167"/>
      <c r="QYJ167"/>
      <c r="QYK167"/>
      <c r="QYL167"/>
      <c r="QYM167"/>
      <c r="QYN167"/>
      <c r="QYO167"/>
      <c r="QYP167"/>
      <c r="QYQ167"/>
      <c r="QYR167"/>
      <c r="QYS167"/>
      <c r="QYT167"/>
      <c r="QYU167"/>
      <c r="QYV167"/>
      <c r="QYW167"/>
      <c r="QYX167"/>
      <c r="QYY167"/>
      <c r="QYZ167"/>
      <c r="QZA167"/>
      <c r="QZB167"/>
      <c r="QZC167"/>
      <c r="QZD167"/>
      <c r="QZE167"/>
      <c r="QZF167"/>
      <c r="QZG167"/>
      <c r="QZH167"/>
      <c r="QZI167"/>
      <c r="QZJ167"/>
      <c r="QZK167"/>
      <c r="QZL167"/>
      <c r="QZM167"/>
      <c r="QZN167"/>
      <c r="QZO167"/>
      <c r="QZP167"/>
      <c r="QZQ167"/>
      <c r="QZR167"/>
      <c r="QZS167"/>
      <c r="QZT167"/>
      <c r="QZU167"/>
      <c r="QZV167"/>
      <c r="QZW167"/>
      <c r="QZX167"/>
      <c r="QZY167"/>
      <c r="QZZ167"/>
      <c r="RAA167"/>
      <c r="RAB167"/>
      <c r="RAC167"/>
      <c r="RAD167"/>
      <c r="RAE167"/>
      <c r="RAF167"/>
      <c r="RAG167"/>
      <c r="RAH167"/>
      <c r="RAI167"/>
      <c r="RAJ167"/>
      <c r="RAK167"/>
      <c r="RAL167"/>
      <c r="RAM167"/>
      <c r="RAN167"/>
      <c r="RAO167"/>
      <c r="RAP167"/>
      <c r="RAQ167"/>
      <c r="RAR167"/>
      <c r="RAS167"/>
      <c r="RAT167"/>
      <c r="RAU167"/>
      <c r="RAV167"/>
      <c r="RAW167"/>
      <c r="RAX167"/>
      <c r="RAY167"/>
      <c r="RAZ167"/>
      <c r="RBA167"/>
      <c r="RBB167"/>
      <c r="RBC167"/>
      <c r="RBD167"/>
      <c r="RBE167"/>
      <c r="RBF167"/>
      <c r="RBG167"/>
      <c r="RBH167"/>
      <c r="RBI167"/>
      <c r="RBJ167"/>
      <c r="RBK167"/>
      <c r="RBL167"/>
      <c r="RBM167"/>
      <c r="RBN167"/>
      <c r="RBO167"/>
      <c r="RBP167"/>
      <c r="RBQ167"/>
      <c r="RBR167"/>
      <c r="RBS167"/>
      <c r="RBT167"/>
      <c r="RBU167"/>
      <c r="RBV167"/>
      <c r="RBW167"/>
      <c r="RBX167"/>
      <c r="RBY167"/>
      <c r="RBZ167"/>
      <c r="RCA167"/>
      <c r="RCB167"/>
      <c r="RCC167"/>
      <c r="RCD167"/>
      <c r="RCE167"/>
      <c r="RCF167"/>
      <c r="RCG167"/>
      <c r="RCH167"/>
      <c r="RCI167"/>
      <c r="RCJ167"/>
      <c r="RCK167"/>
      <c r="RCL167"/>
      <c r="RCM167"/>
      <c r="RCN167"/>
      <c r="RCO167"/>
      <c r="RCP167"/>
      <c r="RCQ167"/>
      <c r="RCR167"/>
      <c r="RCS167"/>
      <c r="RCT167"/>
      <c r="RCU167"/>
      <c r="RCV167"/>
      <c r="RCW167"/>
      <c r="RCX167"/>
      <c r="RCY167"/>
      <c r="RCZ167"/>
      <c r="RDA167"/>
      <c r="RDB167"/>
      <c r="RDC167"/>
      <c r="RDD167"/>
      <c r="RDE167"/>
      <c r="RDF167"/>
      <c r="RDG167"/>
      <c r="RDH167"/>
      <c r="RDI167"/>
      <c r="RDJ167"/>
      <c r="RDK167"/>
      <c r="RDL167"/>
      <c r="RDM167"/>
      <c r="RDN167"/>
      <c r="RDO167"/>
      <c r="RDP167"/>
      <c r="RDQ167"/>
      <c r="RDR167"/>
      <c r="RDS167"/>
      <c r="RDT167"/>
      <c r="RDU167"/>
      <c r="RDV167"/>
      <c r="RDW167"/>
      <c r="RDX167"/>
      <c r="RDY167"/>
      <c r="RDZ167"/>
      <c r="REA167"/>
      <c r="REB167"/>
      <c r="REC167"/>
      <c r="RED167"/>
      <c r="REE167"/>
      <c r="REF167"/>
      <c r="REG167"/>
      <c r="REH167"/>
      <c r="REI167"/>
      <c r="REJ167"/>
      <c r="REK167"/>
      <c r="REL167"/>
      <c r="REM167"/>
      <c r="REN167"/>
      <c r="REO167"/>
      <c r="REP167"/>
      <c r="REQ167"/>
      <c r="RER167"/>
      <c r="RES167"/>
      <c r="RET167"/>
      <c r="REU167"/>
      <c r="REV167"/>
      <c r="REW167"/>
      <c r="REX167"/>
      <c r="REY167"/>
      <c r="REZ167"/>
      <c r="RFA167"/>
      <c r="RFB167"/>
      <c r="RFC167"/>
      <c r="RFD167"/>
      <c r="RFE167"/>
      <c r="RFF167"/>
      <c r="RFG167"/>
      <c r="RFH167"/>
      <c r="RFI167"/>
      <c r="RFJ167"/>
      <c r="RFK167"/>
      <c r="RFL167"/>
      <c r="RFM167"/>
      <c r="RFN167"/>
      <c r="RFO167"/>
      <c r="RFP167"/>
      <c r="RFQ167"/>
      <c r="RFR167"/>
      <c r="RFS167"/>
      <c r="RFT167"/>
      <c r="RFU167"/>
      <c r="RFV167"/>
      <c r="RFW167"/>
      <c r="RFX167"/>
      <c r="RFY167"/>
      <c r="RFZ167"/>
      <c r="RGA167"/>
      <c r="RGB167"/>
      <c r="RGC167"/>
      <c r="RGD167"/>
      <c r="RGE167"/>
      <c r="RGF167"/>
      <c r="RGG167"/>
      <c r="RGH167"/>
      <c r="RGI167"/>
      <c r="RGJ167"/>
      <c r="RGK167"/>
      <c r="RGL167"/>
      <c r="RGM167"/>
      <c r="RGN167"/>
      <c r="RGO167"/>
      <c r="RGP167"/>
      <c r="RGQ167"/>
      <c r="RGR167"/>
      <c r="RGS167"/>
      <c r="RGT167"/>
      <c r="RGU167"/>
      <c r="RGV167"/>
      <c r="RGW167"/>
      <c r="RGX167"/>
      <c r="RGY167"/>
      <c r="RGZ167"/>
      <c r="RHA167"/>
      <c r="RHB167"/>
      <c r="RHC167"/>
      <c r="RHD167"/>
      <c r="RHE167"/>
      <c r="RHF167"/>
      <c r="RHG167"/>
      <c r="RHH167"/>
      <c r="RHI167"/>
      <c r="RHJ167"/>
      <c r="RHK167"/>
      <c r="RHL167"/>
      <c r="RHM167"/>
      <c r="RHN167"/>
      <c r="RHO167"/>
      <c r="RHP167"/>
      <c r="RHQ167"/>
      <c r="RHR167"/>
      <c r="RHS167"/>
      <c r="RHT167"/>
      <c r="RHU167"/>
      <c r="RHV167"/>
      <c r="RHW167"/>
      <c r="RHX167"/>
      <c r="RHY167"/>
      <c r="RHZ167"/>
      <c r="RIA167"/>
      <c r="RIB167"/>
      <c r="RIC167"/>
      <c r="RID167"/>
      <c r="RIE167"/>
      <c r="RIF167"/>
      <c r="RIG167"/>
      <c r="RIH167"/>
      <c r="RII167"/>
      <c r="RIJ167"/>
      <c r="RIK167"/>
      <c r="RIL167"/>
      <c r="RIM167"/>
      <c r="RIN167"/>
      <c r="RIO167"/>
      <c r="RIP167"/>
      <c r="RIQ167"/>
      <c r="RIR167"/>
      <c r="RIS167"/>
      <c r="RIT167"/>
      <c r="RIU167"/>
      <c r="RIV167"/>
      <c r="RIW167"/>
      <c r="RIX167"/>
      <c r="RIY167"/>
      <c r="RIZ167"/>
      <c r="RJA167"/>
      <c r="RJB167"/>
      <c r="RJC167"/>
      <c r="RJD167"/>
      <c r="RJE167"/>
      <c r="RJF167"/>
      <c r="RJG167"/>
      <c r="RJH167"/>
      <c r="RJI167"/>
      <c r="RJJ167"/>
      <c r="RJK167"/>
      <c r="RJL167"/>
      <c r="RJM167"/>
      <c r="RJN167"/>
      <c r="RJO167"/>
      <c r="RJP167"/>
      <c r="RJQ167"/>
      <c r="RJR167"/>
      <c r="RJS167"/>
      <c r="RJT167"/>
      <c r="RJU167"/>
      <c r="RJV167"/>
      <c r="RJW167"/>
      <c r="RJX167"/>
      <c r="RJY167"/>
      <c r="RJZ167"/>
      <c r="RKA167"/>
      <c r="RKB167"/>
      <c r="RKC167"/>
      <c r="RKD167"/>
      <c r="RKE167"/>
      <c r="RKF167"/>
      <c r="RKG167"/>
      <c r="RKH167"/>
      <c r="RKI167"/>
      <c r="RKJ167"/>
      <c r="RKK167"/>
      <c r="RKL167"/>
      <c r="RKM167"/>
      <c r="RKN167"/>
      <c r="RKO167"/>
      <c r="RKP167"/>
      <c r="RKQ167"/>
      <c r="RKR167"/>
      <c r="RKS167"/>
      <c r="RKT167"/>
      <c r="RKU167"/>
      <c r="RKV167"/>
      <c r="RKW167"/>
      <c r="RKX167"/>
      <c r="RKY167"/>
      <c r="RKZ167"/>
      <c r="RLA167"/>
      <c r="RLB167"/>
      <c r="RLC167"/>
      <c r="RLD167"/>
      <c r="RLE167"/>
      <c r="RLF167"/>
      <c r="RLG167"/>
      <c r="RLH167"/>
      <c r="RLI167"/>
      <c r="RLJ167"/>
      <c r="RLK167"/>
      <c r="RLL167"/>
      <c r="RLM167"/>
      <c r="RLN167"/>
      <c r="RLO167"/>
      <c r="RLP167"/>
      <c r="RLQ167"/>
      <c r="RLR167"/>
      <c r="RLS167"/>
      <c r="RLT167"/>
      <c r="RLU167"/>
      <c r="RLV167"/>
      <c r="RLW167"/>
      <c r="RLX167"/>
      <c r="RLY167"/>
      <c r="RLZ167"/>
      <c r="RMA167"/>
      <c r="RMB167"/>
      <c r="RMC167"/>
      <c r="RMD167"/>
      <c r="RME167"/>
      <c r="RMF167"/>
      <c r="RMG167"/>
      <c r="RMH167"/>
      <c r="RMI167"/>
      <c r="RMJ167"/>
      <c r="RMK167"/>
      <c r="RML167"/>
      <c r="RMM167"/>
      <c r="RMN167"/>
      <c r="RMO167"/>
      <c r="RMP167"/>
      <c r="RMQ167"/>
      <c r="RMR167"/>
      <c r="RMS167"/>
      <c r="RMT167"/>
      <c r="RMU167"/>
      <c r="RMV167"/>
      <c r="RMW167"/>
      <c r="RMX167"/>
      <c r="RMY167"/>
      <c r="RMZ167"/>
      <c r="RNA167"/>
      <c r="RNB167"/>
      <c r="RNC167"/>
      <c r="RND167"/>
      <c r="RNE167"/>
      <c r="RNF167"/>
      <c r="RNG167"/>
      <c r="RNH167"/>
      <c r="RNI167"/>
      <c r="RNJ167"/>
      <c r="RNK167"/>
      <c r="RNL167"/>
      <c r="RNM167"/>
      <c r="RNN167"/>
      <c r="RNO167"/>
      <c r="RNP167"/>
      <c r="RNQ167"/>
      <c r="RNR167"/>
      <c r="RNS167"/>
      <c r="RNT167"/>
      <c r="RNU167"/>
      <c r="RNV167"/>
      <c r="RNW167"/>
      <c r="RNX167"/>
      <c r="RNY167"/>
      <c r="RNZ167"/>
      <c r="ROA167"/>
      <c r="ROB167"/>
      <c r="ROC167"/>
      <c r="ROD167"/>
      <c r="ROE167"/>
      <c r="ROF167"/>
      <c r="ROG167"/>
      <c r="ROH167"/>
      <c r="ROI167"/>
      <c r="ROJ167"/>
      <c r="ROK167"/>
      <c r="ROL167"/>
      <c r="ROM167"/>
      <c r="RON167"/>
      <c r="ROO167"/>
      <c r="ROP167"/>
      <c r="ROQ167"/>
      <c r="ROR167"/>
      <c r="ROS167"/>
      <c r="ROT167"/>
      <c r="ROU167"/>
      <c r="ROV167"/>
      <c r="ROW167"/>
      <c r="ROX167"/>
      <c r="ROY167"/>
      <c r="ROZ167"/>
      <c r="RPA167"/>
      <c r="RPB167"/>
      <c r="RPC167"/>
      <c r="RPD167"/>
      <c r="RPE167"/>
      <c r="RPF167"/>
      <c r="RPG167"/>
      <c r="RPH167"/>
      <c r="RPI167"/>
      <c r="RPJ167"/>
      <c r="RPK167"/>
      <c r="RPL167"/>
      <c r="RPM167"/>
      <c r="RPN167"/>
      <c r="RPO167"/>
      <c r="RPP167"/>
      <c r="RPQ167"/>
      <c r="RPR167"/>
      <c r="RPS167"/>
      <c r="RPT167"/>
      <c r="RPU167"/>
      <c r="RPV167"/>
      <c r="RPW167"/>
      <c r="RPX167"/>
      <c r="RPY167"/>
      <c r="RPZ167"/>
      <c r="RQA167"/>
      <c r="RQB167"/>
      <c r="RQC167"/>
      <c r="RQD167"/>
      <c r="RQE167"/>
      <c r="RQF167"/>
      <c r="RQG167"/>
      <c r="RQH167"/>
      <c r="RQI167"/>
      <c r="RQJ167"/>
      <c r="RQK167"/>
      <c r="RQL167"/>
      <c r="RQM167"/>
      <c r="RQN167"/>
      <c r="RQO167"/>
      <c r="RQP167"/>
      <c r="RQQ167"/>
      <c r="RQR167"/>
      <c r="RQS167"/>
      <c r="RQT167"/>
      <c r="RQU167"/>
      <c r="RQV167"/>
      <c r="RQW167"/>
      <c r="RQX167"/>
      <c r="RQY167"/>
      <c r="RQZ167"/>
      <c r="RRA167"/>
      <c r="RRB167"/>
      <c r="RRC167"/>
      <c r="RRD167"/>
      <c r="RRE167"/>
      <c r="RRF167"/>
      <c r="RRG167"/>
      <c r="RRH167"/>
      <c r="RRI167"/>
      <c r="RRJ167"/>
      <c r="RRK167"/>
      <c r="RRL167"/>
      <c r="RRM167"/>
      <c r="RRN167"/>
      <c r="RRO167"/>
      <c r="RRP167"/>
      <c r="RRQ167"/>
      <c r="RRR167"/>
      <c r="RRS167"/>
      <c r="RRT167"/>
      <c r="RRU167"/>
      <c r="RRV167"/>
      <c r="RRW167"/>
      <c r="RRX167"/>
      <c r="RRY167"/>
      <c r="RRZ167"/>
      <c r="RSA167"/>
      <c r="RSB167"/>
      <c r="RSC167"/>
      <c r="RSD167"/>
      <c r="RSE167"/>
      <c r="RSF167"/>
      <c r="RSG167"/>
      <c r="RSH167"/>
      <c r="RSI167"/>
      <c r="RSJ167"/>
      <c r="RSK167"/>
      <c r="RSL167"/>
      <c r="RSM167"/>
      <c r="RSN167"/>
      <c r="RSO167"/>
      <c r="RSP167"/>
      <c r="RSQ167"/>
      <c r="RSR167"/>
      <c r="RSS167"/>
      <c r="RST167"/>
      <c r="RSU167"/>
      <c r="RSV167"/>
      <c r="RSW167"/>
      <c r="RSX167"/>
      <c r="RSY167"/>
      <c r="RSZ167"/>
      <c r="RTA167"/>
      <c r="RTB167"/>
      <c r="RTC167"/>
      <c r="RTD167"/>
      <c r="RTE167"/>
      <c r="RTF167"/>
      <c r="RTG167"/>
      <c r="RTH167"/>
      <c r="RTI167"/>
      <c r="RTJ167"/>
      <c r="RTK167"/>
      <c r="RTL167"/>
      <c r="RTM167"/>
      <c r="RTN167"/>
      <c r="RTO167"/>
      <c r="RTP167"/>
      <c r="RTQ167"/>
      <c r="RTR167"/>
      <c r="RTS167"/>
      <c r="RTT167"/>
      <c r="RTU167"/>
      <c r="RTV167"/>
      <c r="RTW167"/>
      <c r="RTX167"/>
      <c r="RTY167"/>
      <c r="RTZ167"/>
      <c r="RUA167"/>
      <c r="RUB167"/>
      <c r="RUC167"/>
      <c r="RUD167"/>
      <c r="RUE167"/>
      <c r="RUF167"/>
      <c r="RUG167"/>
      <c r="RUH167"/>
      <c r="RUI167"/>
      <c r="RUJ167"/>
      <c r="RUK167"/>
      <c r="RUL167"/>
      <c r="RUM167"/>
      <c r="RUN167"/>
      <c r="RUO167"/>
      <c r="RUP167"/>
      <c r="RUQ167"/>
      <c r="RUR167"/>
      <c r="RUS167"/>
      <c r="RUT167"/>
      <c r="RUU167"/>
      <c r="RUV167"/>
      <c r="RUW167"/>
      <c r="RUX167"/>
      <c r="RUY167"/>
      <c r="RUZ167"/>
      <c r="RVA167"/>
      <c r="RVB167"/>
      <c r="RVC167"/>
      <c r="RVD167"/>
      <c r="RVE167"/>
      <c r="RVF167"/>
      <c r="RVG167"/>
      <c r="RVH167"/>
      <c r="RVI167"/>
      <c r="RVJ167"/>
      <c r="RVK167"/>
      <c r="RVL167"/>
      <c r="RVM167"/>
      <c r="RVN167"/>
      <c r="RVO167"/>
      <c r="RVP167"/>
      <c r="RVQ167"/>
      <c r="RVR167"/>
      <c r="RVS167"/>
      <c r="RVT167"/>
      <c r="RVU167"/>
      <c r="RVV167"/>
      <c r="RVW167"/>
      <c r="RVX167"/>
      <c r="RVY167"/>
      <c r="RVZ167"/>
      <c r="RWA167"/>
      <c r="RWB167"/>
      <c r="RWC167"/>
      <c r="RWD167"/>
      <c r="RWE167"/>
      <c r="RWF167"/>
      <c r="RWG167"/>
      <c r="RWH167"/>
      <c r="RWI167"/>
      <c r="RWJ167"/>
      <c r="RWK167"/>
      <c r="RWL167"/>
      <c r="RWM167"/>
      <c r="RWN167"/>
      <c r="RWO167"/>
      <c r="RWP167"/>
      <c r="RWQ167"/>
      <c r="RWR167"/>
      <c r="RWS167"/>
      <c r="RWT167"/>
      <c r="RWU167"/>
      <c r="RWV167"/>
      <c r="RWW167"/>
      <c r="RWX167"/>
      <c r="RWY167"/>
      <c r="RWZ167"/>
      <c r="RXA167"/>
      <c r="RXB167"/>
      <c r="RXC167"/>
      <c r="RXD167"/>
      <c r="RXE167"/>
      <c r="RXF167"/>
      <c r="RXG167"/>
      <c r="RXH167"/>
      <c r="RXI167"/>
      <c r="RXJ167"/>
      <c r="RXK167"/>
      <c r="RXL167"/>
      <c r="RXM167"/>
      <c r="RXN167"/>
      <c r="RXO167"/>
      <c r="RXP167"/>
      <c r="RXQ167"/>
      <c r="RXR167"/>
      <c r="RXS167"/>
      <c r="RXT167"/>
      <c r="RXU167"/>
      <c r="RXV167"/>
      <c r="RXW167"/>
      <c r="RXX167"/>
      <c r="RXY167"/>
      <c r="RXZ167"/>
      <c r="RYA167"/>
      <c r="RYB167"/>
      <c r="RYC167"/>
      <c r="RYD167"/>
      <c r="RYE167"/>
      <c r="RYF167"/>
      <c r="RYG167"/>
      <c r="RYH167"/>
      <c r="RYI167"/>
      <c r="RYJ167"/>
      <c r="RYK167"/>
      <c r="RYL167"/>
      <c r="RYM167"/>
      <c r="RYN167"/>
      <c r="RYO167"/>
      <c r="RYP167"/>
      <c r="RYQ167"/>
      <c r="RYR167"/>
      <c r="RYS167"/>
      <c r="RYT167"/>
      <c r="RYU167"/>
      <c r="RYV167"/>
      <c r="RYW167"/>
      <c r="RYX167"/>
      <c r="RYY167"/>
      <c r="RYZ167"/>
      <c r="RZA167"/>
      <c r="RZB167"/>
      <c r="RZC167"/>
      <c r="RZD167"/>
      <c r="RZE167"/>
      <c r="RZF167"/>
      <c r="RZG167"/>
      <c r="RZH167"/>
      <c r="RZI167"/>
      <c r="RZJ167"/>
      <c r="RZK167"/>
      <c r="RZL167"/>
      <c r="RZM167"/>
      <c r="RZN167"/>
      <c r="RZO167"/>
      <c r="RZP167"/>
      <c r="RZQ167"/>
      <c r="RZR167"/>
      <c r="RZS167"/>
      <c r="RZT167"/>
      <c r="RZU167"/>
      <c r="RZV167"/>
      <c r="RZW167"/>
      <c r="RZX167"/>
      <c r="RZY167"/>
      <c r="RZZ167"/>
      <c r="SAA167"/>
      <c r="SAB167"/>
      <c r="SAC167"/>
      <c r="SAD167"/>
      <c r="SAE167"/>
      <c r="SAF167"/>
      <c r="SAG167"/>
      <c r="SAH167"/>
      <c r="SAI167"/>
      <c r="SAJ167"/>
      <c r="SAK167"/>
      <c r="SAL167"/>
      <c r="SAM167"/>
      <c r="SAN167"/>
      <c r="SAO167"/>
      <c r="SAP167"/>
      <c r="SAQ167"/>
      <c r="SAR167"/>
      <c r="SAS167"/>
      <c r="SAT167"/>
      <c r="SAU167"/>
      <c r="SAV167"/>
      <c r="SAW167"/>
      <c r="SAX167"/>
      <c r="SAY167"/>
      <c r="SAZ167"/>
      <c r="SBA167"/>
      <c r="SBB167"/>
      <c r="SBC167"/>
      <c r="SBD167"/>
      <c r="SBE167"/>
      <c r="SBF167"/>
      <c r="SBG167"/>
      <c r="SBH167"/>
      <c r="SBI167"/>
      <c r="SBJ167"/>
      <c r="SBK167"/>
      <c r="SBL167"/>
      <c r="SBM167"/>
      <c r="SBN167"/>
      <c r="SBO167"/>
      <c r="SBP167"/>
      <c r="SBQ167"/>
      <c r="SBR167"/>
      <c r="SBS167"/>
      <c r="SBT167"/>
      <c r="SBU167"/>
      <c r="SBV167"/>
      <c r="SBW167"/>
      <c r="SBX167"/>
      <c r="SBY167"/>
      <c r="SBZ167"/>
      <c r="SCA167"/>
      <c r="SCB167"/>
      <c r="SCC167"/>
      <c r="SCD167"/>
      <c r="SCE167"/>
      <c r="SCF167"/>
      <c r="SCG167"/>
      <c r="SCH167"/>
      <c r="SCI167"/>
      <c r="SCJ167"/>
      <c r="SCK167"/>
      <c r="SCL167"/>
      <c r="SCM167"/>
      <c r="SCN167"/>
      <c r="SCO167"/>
      <c r="SCP167"/>
      <c r="SCQ167"/>
      <c r="SCR167"/>
      <c r="SCS167"/>
      <c r="SCT167"/>
      <c r="SCU167"/>
      <c r="SCV167"/>
      <c r="SCW167"/>
      <c r="SCX167"/>
      <c r="SCY167"/>
      <c r="SCZ167"/>
      <c r="SDA167"/>
      <c r="SDB167"/>
      <c r="SDC167"/>
      <c r="SDD167"/>
      <c r="SDE167"/>
      <c r="SDF167"/>
      <c r="SDG167"/>
      <c r="SDH167"/>
      <c r="SDI167"/>
      <c r="SDJ167"/>
      <c r="SDK167"/>
      <c r="SDL167"/>
      <c r="SDM167"/>
      <c r="SDN167"/>
      <c r="SDO167"/>
      <c r="SDP167"/>
      <c r="SDQ167"/>
      <c r="SDR167"/>
      <c r="SDS167"/>
      <c r="SDT167"/>
      <c r="SDU167"/>
      <c r="SDV167"/>
      <c r="SDW167"/>
      <c r="SDX167"/>
      <c r="SDY167"/>
      <c r="SDZ167"/>
      <c r="SEA167"/>
      <c r="SEB167"/>
      <c r="SEC167"/>
      <c r="SED167"/>
      <c r="SEE167"/>
      <c r="SEF167"/>
      <c r="SEG167"/>
      <c r="SEH167"/>
      <c r="SEI167"/>
      <c r="SEJ167"/>
      <c r="SEK167"/>
      <c r="SEL167"/>
      <c r="SEM167"/>
      <c r="SEN167"/>
      <c r="SEO167"/>
      <c r="SEP167"/>
      <c r="SEQ167"/>
      <c r="SER167"/>
      <c r="SES167"/>
      <c r="SET167"/>
      <c r="SEU167"/>
      <c r="SEV167"/>
      <c r="SEW167"/>
      <c r="SEX167"/>
      <c r="SEY167"/>
      <c r="SEZ167"/>
      <c r="SFA167"/>
      <c r="SFB167"/>
      <c r="SFC167"/>
      <c r="SFD167"/>
      <c r="SFE167"/>
      <c r="SFF167"/>
      <c r="SFG167"/>
      <c r="SFH167"/>
      <c r="SFI167"/>
      <c r="SFJ167"/>
      <c r="SFK167"/>
      <c r="SFL167"/>
      <c r="SFM167"/>
      <c r="SFN167"/>
      <c r="SFO167"/>
      <c r="SFP167"/>
      <c r="SFQ167"/>
      <c r="SFR167"/>
      <c r="SFS167"/>
      <c r="SFT167"/>
      <c r="SFU167"/>
      <c r="SFV167"/>
      <c r="SFW167"/>
      <c r="SFX167"/>
      <c r="SFY167"/>
      <c r="SFZ167"/>
      <c r="SGA167"/>
      <c r="SGB167"/>
      <c r="SGC167"/>
      <c r="SGD167"/>
      <c r="SGE167"/>
      <c r="SGF167"/>
      <c r="SGG167"/>
      <c r="SGH167"/>
      <c r="SGI167"/>
      <c r="SGJ167"/>
      <c r="SGK167"/>
      <c r="SGL167"/>
      <c r="SGM167"/>
      <c r="SGN167"/>
      <c r="SGO167"/>
      <c r="SGP167"/>
      <c r="SGQ167"/>
      <c r="SGR167"/>
      <c r="SGS167"/>
      <c r="SGT167"/>
      <c r="SGU167"/>
      <c r="SGV167"/>
      <c r="SGW167"/>
      <c r="SGX167"/>
      <c r="SGY167"/>
      <c r="SGZ167"/>
      <c r="SHA167"/>
      <c r="SHB167"/>
      <c r="SHC167"/>
      <c r="SHD167"/>
      <c r="SHE167"/>
      <c r="SHF167"/>
      <c r="SHG167"/>
      <c r="SHH167"/>
      <c r="SHI167"/>
      <c r="SHJ167"/>
      <c r="SHK167"/>
      <c r="SHL167"/>
      <c r="SHM167"/>
      <c r="SHN167"/>
      <c r="SHO167"/>
      <c r="SHP167"/>
      <c r="SHQ167"/>
      <c r="SHR167"/>
      <c r="SHS167"/>
      <c r="SHT167"/>
      <c r="SHU167"/>
      <c r="SHV167"/>
      <c r="SHW167"/>
      <c r="SHX167"/>
      <c r="SHY167"/>
      <c r="SHZ167"/>
      <c r="SIA167"/>
      <c r="SIB167"/>
      <c r="SIC167"/>
      <c r="SID167"/>
      <c r="SIE167"/>
      <c r="SIF167"/>
      <c r="SIG167"/>
      <c r="SIH167"/>
      <c r="SII167"/>
      <c r="SIJ167"/>
      <c r="SIK167"/>
      <c r="SIL167"/>
      <c r="SIM167"/>
      <c r="SIN167"/>
      <c r="SIO167"/>
      <c r="SIP167"/>
      <c r="SIQ167"/>
      <c r="SIR167"/>
      <c r="SIS167"/>
      <c r="SIT167"/>
      <c r="SIU167"/>
      <c r="SIV167"/>
      <c r="SIW167"/>
      <c r="SIX167"/>
      <c r="SIY167"/>
      <c r="SIZ167"/>
      <c r="SJA167"/>
      <c r="SJB167"/>
      <c r="SJC167"/>
      <c r="SJD167"/>
      <c r="SJE167"/>
      <c r="SJF167"/>
      <c r="SJG167"/>
      <c r="SJH167"/>
      <c r="SJI167"/>
      <c r="SJJ167"/>
      <c r="SJK167"/>
      <c r="SJL167"/>
      <c r="SJM167"/>
      <c r="SJN167"/>
      <c r="SJO167"/>
      <c r="SJP167"/>
      <c r="SJQ167"/>
      <c r="SJR167"/>
      <c r="SJS167"/>
      <c r="SJT167"/>
      <c r="SJU167"/>
      <c r="SJV167"/>
      <c r="SJW167"/>
      <c r="SJX167"/>
      <c r="SJY167"/>
      <c r="SJZ167"/>
      <c r="SKA167"/>
      <c r="SKB167"/>
      <c r="SKC167"/>
      <c r="SKD167"/>
      <c r="SKE167"/>
      <c r="SKF167"/>
      <c r="SKG167"/>
      <c r="SKH167"/>
      <c r="SKI167"/>
      <c r="SKJ167"/>
      <c r="SKK167"/>
      <c r="SKL167"/>
      <c r="SKM167"/>
      <c r="SKN167"/>
      <c r="SKO167"/>
      <c r="SKP167"/>
      <c r="SKQ167"/>
      <c r="SKR167"/>
      <c r="SKS167"/>
      <c r="SKT167"/>
      <c r="SKU167"/>
      <c r="SKV167"/>
      <c r="SKW167"/>
      <c r="SKX167"/>
      <c r="SKY167"/>
      <c r="SKZ167"/>
      <c r="SLA167"/>
      <c r="SLB167"/>
      <c r="SLC167"/>
      <c r="SLD167"/>
      <c r="SLE167"/>
      <c r="SLF167"/>
      <c r="SLG167"/>
      <c r="SLH167"/>
      <c r="SLI167"/>
      <c r="SLJ167"/>
      <c r="SLK167"/>
      <c r="SLL167"/>
      <c r="SLM167"/>
      <c r="SLN167"/>
      <c r="SLO167"/>
      <c r="SLP167"/>
      <c r="SLQ167"/>
      <c r="SLR167"/>
      <c r="SLS167"/>
      <c r="SLT167"/>
      <c r="SLU167"/>
      <c r="SLV167"/>
      <c r="SLW167"/>
      <c r="SLX167"/>
      <c r="SLY167"/>
      <c r="SLZ167"/>
      <c r="SMA167"/>
      <c r="SMB167"/>
      <c r="SMC167"/>
      <c r="SMD167"/>
      <c r="SME167"/>
      <c r="SMF167"/>
      <c r="SMG167"/>
      <c r="SMH167"/>
      <c r="SMI167"/>
      <c r="SMJ167"/>
      <c r="SMK167"/>
      <c r="SML167"/>
      <c r="SMM167"/>
      <c r="SMN167"/>
      <c r="SMO167"/>
      <c r="SMP167"/>
      <c r="SMQ167"/>
      <c r="SMR167"/>
      <c r="SMS167"/>
      <c r="SMT167"/>
      <c r="SMU167"/>
      <c r="SMV167"/>
      <c r="SMW167"/>
      <c r="SMX167"/>
      <c r="SMY167"/>
      <c r="SMZ167"/>
      <c r="SNA167"/>
      <c r="SNB167"/>
      <c r="SNC167"/>
      <c r="SND167"/>
      <c r="SNE167"/>
      <c r="SNF167"/>
      <c r="SNG167"/>
      <c r="SNH167"/>
      <c r="SNI167"/>
      <c r="SNJ167"/>
      <c r="SNK167"/>
      <c r="SNL167"/>
      <c r="SNM167"/>
      <c r="SNN167"/>
      <c r="SNO167"/>
      <c r="SNP167"/>
      <c r="SNQ167"/>
      <c r="SNR167"/>
      <c r="SNS167"/>
      <c r="SNT167"/>
      <c r="SNU167"/>
      <c r="SNV167"/>
      <c r="SNW167"/>
      <c r="SNX167"/>
      <c r="SNY167"/>
      <c r="SNZ167"/>
      <c r="SOA167"/>
      <c r="SOB167"/>
      <c r="SOC167"/>
      <c r="SOD167"/>
      <c r="SOE167"/>
      <c r="SOF167"/>
      <c r="SOG167"/>
      <c r="SOH167"/>
      <c r="SOI167"/>
      <c r="SOJ167"/>
      <c r="SOK167"/>
      <c r="SOL167"/>
      <c r="SOM167"/>
      <c r="SON167"/>
      <c r="SOO167"/>
      <c r="SOP167"/>
      <c r="SOQ167"/>
      <c r="SOR167"/>
      <c r="SOS167"/>
      <c r="SOT167"/>
      <c r="SOU167"/>
      <c r="SOV167"/>
      <c r="SOW167"/>
      <c r="SOX167"/>
      <c r="SOY167"/>
      <c r="SOZ167"/>
      <c r="SPA167"/>
      <c r="SPB167"/>
      <c r="SPC167"/>
      <c r="SPD167"/>
      <c r="SPE167"/>
      <c r="SPF167"/>
      <c r="SPG167"/>
      <c r="SPH167"/>
      <c r="SPI167"/>
      <c r="SPJ167"/>
      <c r="SPK167"/>
      <c r="SPL167"/>
      <c r="SPM167"/>
      <c r="SPN167"/>
      <c r="SPO167"/>
      <c r="SPP167"/>
      <c r="SPQ167"/>
      <c r="SPR167"/>
      <c r="SPS167"/>
      <c r="SPT167"/>
      <c r="SPU167"/>
      <c r="SPV167"/>
      <c r="SPW167"/>
      <c r="SPX167"/>
      <c r="SPY167"/>
      <c r="SPZ167"/>
      <c r="SQA167"/>
      <c r="SQB167"/>
      <c r="SQC167"/>
      <c r="SQD167"/>
      <c r="SQE167"/>
      <c r="SQF167"/>
      <c r="SQG167"/>
      <c r="SQH167"/>
      <c r="SQI167"/>
      <c r="SQJ167"/>
      <c r="SQK167"/>
      <c r="SQL167"/>
      <c r="SQM167"/>
      <c r="SQN167"/>
      <c r="SQO167"/>
      <c r="SQP167"/>
      <c r="SQQ167"/>
      <c r="SQR167"/>
      <c r="SQS167"/>
      <c r="SQT167"/>
      <c r="SQU167"/>
      <c r="SQV167"/>
      <c r="SQW167"/>
      <c r="SQX167"/>
      <c r="SQY167"/>
      <c r="SQZ167"/>
      <c r="SRA167"/>
      <c r="SRB167"/>
      <c r="SRC167"/>
      <c r="SRD167"/>
      <c r="SRE167"/>
      <c r="SRF167"/>
      <c r="SRG167"/>
      <c r="SRH167"/>
      <c r="SRI167"/>
      <c r="SRJ167"/>
      <c r="SRK167"/>
      <c r="SRL167"/>
      <c r="SRM167"/>
      <c r="SRN167"/>
      <c r="SRO167"/>
      <c r="SRP167"/>
      <c r="SRQ167"/>
      <c r="SRR167"/>
      <c r="SRS167"/>
      <c r="SRT167"/>
      <c r="SRU167"/>
      <c r="SRV167"/>
      <c r="SRW167"/>
      <c r="SRX167"/>
      <c r="SRY167"/>
      <c r="SRZ167"/>
      <c r="SSA167"/>
      <c r="SSB167"/>
      <c r="SSC167"/>
      <c r="SSD167"/>
      <c r="SSE167"/>
      <c r="SSF167"/>
      <c r="SSG167"/>
      <c r="SSH167"/>
      <c r="SSI167"/>
      <c r="SSJ167"/>
      <c r="SSK167"/>
      <c r="SSL167"/>
      <c r="SSM167"/>
      <c r="SSN167"/>
      <c r="SSO167"/>
      <c r="SSP167"/>
      <c r="SSQ167"/>
      <c r="SSR167"/>
      <c r="SSS167"/>
      <c r="SST167"/>
      <c r="SSU167"/>
      <c r="SSV167"/>
      <c r="SSW167"/>
      <c r="SSX167"/>
      <c r="SSY167"/>
      <c r="SSZ167"/>
      <c r="STA167"/>
      <c r="STB167"/>
      <c r="STC167"/>
      <c r="STD167"/>
      <c r="STE167"/>
      <c r="STF167"/>
      <c r="STG167"/>
      <c r="STH167"/>
      <c r="STI167"/>
      <c r="STJ167"/>
      <c r="STK167"/>
      <c r="STL167"/>
      <c r="STM167"/>
      <c r="STN167"/>
      <c r="STO167"/>
      <c r="STP167"/>
      <c r="STQ167"/>
      <c r="STR167"/>
      <c r="STS167"/>
      <c r="STT167"/>
      <c r="STU167"/>
      <c r="STV167"/>
      <c r="STW167"/>
      <c r="STX167"/>
      <c r="STY167"/>
      <c r="STZ167"/>
      <c r="SUA167"/>
      <c r="SUB167"/>
      <c r="SUC167"/>
      <c r="SUD167"/>
      <c r="SUE167"/>
      <c r="SUF167"/>
      <c r="SUG167"/>
      <c r="SUH167"/>
      <c r="SUI167"/>
      <c r="SUJ167"/>
      <c r="SUK167"/>
      <c r="SUL167"/>
      <c r="SUM167"/>
      <c r="SUN167"/>
      <c r="SUO167"/>
      <c r="SUP167"/>
      <c r="SUQ167"/>
      <c r="SUR167"/>
      <c r="SUS167"/>
      <c r="SUT167"/>
      <c r="SUU167"/>
      <c r="SUV167"/>
      <c r="SUW167"/>
      <c r="SUX167"/>
      <c r="SUY167"/>
      <c r="SUZ167"/>
      <c r="SVA167"/>
      <c r="SVB167"/>
      <c r="SVC167"/>
      <c r="SVD167"/>
      <c r="SVE167"/>
      <c r="SVF167"/>
      <c r="SVG167"/>
      <c r="SVH167"/>
      <c r="SVI167"/>
      <c r="SVJ167"/>
      <c r="SVK167"/>
      <c r="SVL167"/>
      <c r="SVM167"/>
      <c r="SVN167"/>
      <c r="SVO167"/>
      <c r="SVP167"/>
      <c r="SVQ167"/>
      <c r="SVR167"/>
      <c r="SVS167"/>
      <c r="SVT167"/>
      <c r="SVU167"/>
      <c r="SVV167"/>
      <c r="SVW167"/>
      <c r="SVX167"/>
      <c r="SVY167"/>
      <c r="SVZ167"/>
      <c r="SWA167"/>
      <c r="SWB167"/>
      <c r="SWC167"/>
      <c r="SWD167"/>
      <c r="SWE167"/>
      <c r="SWF167"/>
      <c r="SWG167"/>
      <c r="SWH167"/>
      <c r="SWI167"/>
      <c r="SWJ167"/>
      <c r="SWK167"/>
      <c r="SWL167"/>
      <c r="SWM167"/>
      <c r="SWN167"/>
      <c r="SWO167"/>
      <c r="SWP167"/>
      <c r="SWQ167"/>
      <c r="SWR167"/>
      <c r="SWS167"/>
      <c r="SWT167"/>
      <c r="SWU167"/>
      <c r="SWV167"/>
      <c r="SWW167"/>
      <c r="SWX167"/>
      <c r="SWY167"/>
      <c r="SWZ167"/>
      <c r="SXA167"/>
      <c r="SXB167"/>
      <c r="SXC167"/>
      <c r="SXD167"/>
      <c r="SXE167"/>
      <c r="SXF167"/>
      <c r="SXG167"/>
      <c r="SXH167"/>
      <c r="SXI167"/>
      <c r="SXJ167"/>
      <c r="SXK167"/>
      <c r="SXL167"/>
      <c r="SXM167"/>
      <c r="SXN167"/>
      <c r="SXO167"/>
      <c r="SXP167"/>
      <c r="SXQ167"/>
      <c r="SXR167"/>
      <c r="SXS167"/>
      <c r="SXT167"/>
      <c r="SXU167"/>
      <c r="SXV167"/>
      <c r="SXW167"/>
      <c r="SXX167"/>
      <c r="SXY167"/>
      <c r="SXZ167"/>
      <c r="SYA167"/>
      <c r="SYB167"/>
      <c r="SYC167"/>
      <c r="SYD167"/>
      <c r="SYE167"/>
      <c r="SYF167"/>
      <c r="SYG167"/>
      <c r="SYH167"/>
      <c r="SYI167"/>
      <c r="SYJ167"/>
      <c r="SYK167"/>
      <c r="SYL167"/>
      <c r="SYM167"/>
      <c r="SYN167"/>
      <c r="SYO167"/>
      <c r="SYP167"/>
      <c r="SYQ167"/>
      <c r="SYR167"/>
      <c r="SYS167"/>
      <c r="SYT167"/>
      <c r="SYU167"/>
      <c r="SYV167"/>
      <c r="SYW167"/>
      <c r="SYX167"/>
      <c r="SYY167"/>
      <c r="SYZ167"/>
      <c r="SZA167"/>
      <c r="SZB167"/>
      <c r="SZC167"/>
      <c r="SZD167"/>
      <c r="SZE167"/>
      <c r="SZF167"/>
      <c r="SZG167"/>
      <c r="SZH167"/>
      <c r="SZI167"/>
      <c r="SZJ167"/>
      <c r="SZK167"/>
      <c r="SZL167"/>
      <c r="SZM167"/>
      <c r="SZN167"/>
      <c r="SZO167"/>
      <c r="SZP167"/>
      <c r="SZQ167"/>
      <c r="SZR167"/>
      <c r="SZS167"/>
      <c r="SZT167"/>
      <c r="SZU167"/>
      <c r="SZV167"/>
      <c r="SZW167"/>
      <c r="SZX167"/>
      <c r="SZY167"/>
      <c r="SZZ167"/>
      <c r="TAA167"/>
      <c r="TAB167"/>
      <c r="TAC167"/>
      <c r="TAD167"/>
      <c r="TAE167"/>
      <c r="TAF167"/>
      <c r="TAG167"/>
      <c r="TAH167"/>
      <c r="TAI167"/>
      <c r="TAJ167"/>
      <c r="TAK167"/>
      <c r="TAL167"/>
      <c r="TAM167"/>
      <c r="TAN167"/>
      <c r="TAO167"/>
      <c r="TAP167"/>
      <c r="TAQ167"/>
      <c r="TAR167"/>
      <c r="TAS167"/>
      <c r="TAT167"/>
      <c r="TAU167"/>
      <c r="TAV167"/>
      <c r="TAW167"/>
      <c r="TAX167"/>
      <c r="TAY167"/>
      <c r="TAZ167"/>
      <c r="TBA167"/>
      <c r="TBB167"/>
      <c r="TBC167"/>
      <c r="TBD167"/>
      <c r="TBE167"/>
      <c r="TBF167"/>
      <c r="TBG167"/>
      <c r="TBH167"/>
      <c r="TBI167"/>
      <c r="TBJ167"/>
      <c r="TBK167"/>
      <c r="TBL167"/>
      <c r="TBM167"/>
      <c r="TBN167"/>
      <c r="TBO167"/>
      <c r="TBP167"/>
      <c r="TBQ167"/>
      <c r="TBR167"/>
      <c r="TBS167"/>
      <c r="TBT167"/>
      <c r="TBU167"/>
      <c r="TBV167"/>
      <c r="TBW167"/>
      <c r="TBX167"/>
      <c r="TBY167"/>
      <c r="TBZ167"/>
      <c r="TCA167"/>
      <c r="TCB167"/>
      <c r="TCC167"/>
      <c r="TCD167"/>
      <c r="TCE167"/>
      <c r="TCF167"/>
      <c r="TCG167"/>
      <c r="TCH167"/>
      <c r="TCI167"/>
      <c r="TCJ167"/>
      <c r="TCK167"/>
      <c r="TCL167"/>
      <c r="TCM167"/>
      <c r="TCN167"/>
      <c r="TCO167"/>
      <c r="TCP167"/>
      <c r="TCQ167"/>
      <c r="TCR167"/>
      <c r="TCS167"/>
      <c r="TCT167"/>
      <c r="TCU167"/>
      <c r="TCV167"/>
      <c r="TCW167"/>
      <c r="TCX167"/>
      <c r="TCY167"/>
      <c r="TCZ167"/>
      <c r="TDA167"/>
      <c r="TDB167"/>
      <c r="TDC167"/>
      <c r="TDD167"/>
      <c r="TDE167"/>
      <c r="TDF167"/>
      <c r="TDG167"/>
      <c r="TDH167"/>
      <c r="TDI167"/>
      <c r="TDJ167"/>
      <c r="TDK167"/>
      <c r="TDL167"/>
      <c r="TDM167"/>
      <c r="TDN167"/>
      <c r="TDO167"/>
      <c r="TDP167"/>
      <c r="TDQ167"/>
      <c r="TDR167"/>
      <c r="TDS167"/>
      <c r="TDT167"/>
      <c r="TDU167"/>
      <c r="TDV167"/>
      <c r="TDW167"/>
      <c r="TDX167"/>
      <c r="TDY167"/>
      <c r="TDZ167"/>
      <c r="TEA167"/>
      <c r="TEB167"/>
      <c r="TEC167"/>
      <c r="TED167"/>
      <c r="TEE167"/>
      <c r="TEF167"/>
      <c r="TEG167"/>
      <c r="TEH167"/>
      <c r="TEI167"/>
      <c r="TEJ167"/>
      <c r="TEK167"/>
      <c r="TEL167"/>
      <c r="TEM167"/>
      <c r="TEN167"/>
      <c r="TEO167"/>
      <c r="TEP167"/>
      <c r="TEQ167"/>
      <c r="TER167"/>
      <c r="TES167"/>
      <c r="TET167"/>
      <c r="TEU167"/>
      <c r="TEV167"/>
      <c r="TEW167"/>
      <c r="TEX167"/>
      <c r="TEY167"/>
      <c r="TEZ167"/>
      <c r="TFA167"/>
      <c r="TFB167"/>
      <c r="TFC167"/>
      <c r="TFD167"/>
      <c r="TFE167"/>
      <c r="TFF167"/>
      <c r="TFG167"/>
      <c r="TFH167"/>
      <c r="TFI167"/>
      <c r="TFJ167"/>
      <c r="TFK167"/>
      <c r="TFL167"/>
      <c r="TFM167"/>
      <c r="TFN167"/>
      <c r="TFO167"/>
      <c r="TFP167"/>
      <c r="TFQ167"/>
      <c r="TFR167"/>
      <c r="TFS167"/>
      <c r="TFT167"/>
      <c r="TFU167"/>
      <c r="TFV167"/>
      <c r="TFW167"/>
      <c r="TFX167"/>
      <c r="TFY167"/>
      <c r="TFZ167"/>
      <c r="TGA167"/>
      <c r="TGB167"/>
      <c r="TGC167"/>
      <c r="TGD167"/>
      <c r="TGE167"/>
      <c r="TGF167"/>
      <c r="TGG167"/>
      <c r="TGH167"/>
      <c r="TGI167"/>
      <c r="TGJ167"/>
      <c r="TGK167"/>
      <c r="TGL167"/>
      <c r="TGM167"/>
      <c r="TGN167"/>
      <c r="TGO167"/>
      <c r="TGP167"/>
      <c r="TGQ167"/>
      <c r="TGR167"/>
      <c r="TGS167"/>
      <c r="TGT167"/>
      <c r="TGU167"/>
      <c r="TGV167"/>
      <c r="TGW167"/>
      <c r="TGX167"/>
      <c r="TGY167"/>
      <c r="TGZ167"/>
      <c r="THA167"/>
      <c r="THB167"/>
      <c r="THC167"/>
      <c r="THD167"/>
      <c r="THE167"/>
      <c r="THF167"/>
      <c r="THG167"/>
      <c r="THH167"/>
      <c r="THI167"/>
      <c r="THJ167"/>
      <c r="THK167"/>
      <c r="THL167"/>
      <c r="THM167"/>
      <c r="THN167"/>
      <c r="THO167"/>
      <c r="THP167"/>
      <c r="THQ167"/>
      <c r="THR167"/>
      <c r="THS167"/>
      <c r="THT167"/>
      <c r="THU167"/>
      <c r="THV167"/>
      <c r="THW167"/>
      <c r="THX167"/>
      <c r="THY167"/>
      <c r="THZ167"/>
      <c r="TIA167"/>
      <c r="TIB167"/>
      <c r="TIC167"/>
      <c r="TID167"/>
      <c r="TIE167"/>
      <c r="TIF167"/>
      <c r="TIG167"/>
      <c r="TIH167"/>
      <c r="TII167"/>
      <c r="TIJ167"/>
      <c r="TIK167"/>
      <c r="TIL167"/>
      <c r="TIM167"/>
      <c r="TIN167"/>
      <c r="TIO167"/>
      <c r="TIP167"/>
      <c r="TIQ167"/>
      <c r="TIR167"/>
      <c r="TIS167"/>
      <c r="TIT167"/>
      <c r="TIU167"/>
      <c r="TIV167"/>
      <c r="TIW167"/>
      <c r="TIX167"/>
      <c r="TIY167"/>
      <c r="TIZ167"/>
      <c r="TJA167"/>
      <c r="TJB167"/>
      <c r="TJC167"/>
      <c r="TJD167"/>
      <c r="TJE167"/>
      <c r="TJF167"/>
      <c r="TJG167"/>
      <c r="TJH167"/>
      <c r="TJI167"/>
      <c r="TJJ167"/>
      <c r="TJK167"/>
      <c r="TJL167"/>
      <c r="TJM167"/>
      <c r="TJN167"/>
      <c r="TJO167"/>
      <c r="TJP167"/>
      <c r="TJQ167"/>
      <c r="TJR167"/>
      <c r="TJS167"/>
      <c r="TJT167"/>
      <c r="TJU167"/>
      <c r="TJV167"/>
      <c r="TJW167"/>
      <c r="TJX167"/>
      <c r="TJY167"/>
      <c r="TJZ167"/>
      <c r="TKA167"/>
      <c r="TKB167"/>
      <c r="TKC167"/>
      <c r="TKD167"/>
      <c r="TKE167"/>
      <c r="TKF167"/>
      <c r="TKG167"/>
      <c r="TKH167"/>
      <c r="TKI167"/>
      <c r="TKJ167"/>
      <c r="TKK167"/>
      <c r="TKL167"/>
      <c r="TKM167"/>
      <c r="TKN167"/>
      <c r="TKO167"/>
      <c r="TKP167"/>
      <c r="TKQ167"/>
      <c r="TKR167"/>
      <c r="TKS167"/>
      <c r="TKT167"/>
      <c r="TKU167"/>
      <c r="TKV167"/>
      <c r="TKW167"/>
      <c r="TKX167"/>
      <c r="TKY167"/>
      <c r="TKZ167"/>
      <c r="TLA167"/>
      <c r="TLB167"/>
      <c r="TLC167"/>
      <c r="TLD167"/>
      <c r="TLE167"/>
      <c r="TLF167"/>
      <c r="TLG167"/>
      <c r="TLH167"/>
      <c r="TLI167"/>
      <c r="TLJ167"/>
      <c r="TLK167"/>
      <c r="TLL167"/>
      <c r="TLM167"/>
      <c r="TLN167"/>
      <c r="TLO167"/>
      <c r="TLP167"/>
      <c r="TLQ167"/>
      <c r="TLR167"/>
      <c r="TLS167"/>
      <c r="TLT167"/>
      <c r="TLU167"/>
      <c r="TLV167"/>
      <c r="TLW167"/>
      <c r="TLX167"/>
      <c r="TLY167"/>
      <c r="TLZ167"/>
      <c r="TMA167"/>
      <c r="TMB167"/>
      <c r="TMC167"/>
      <c r="TMD167"/>
      <c r="TME167"/>
      <c r="TMF167"/>
      <c r="TMG167"/>
      <c r="TMH167"/>
      <c r="TMI167"/>
      <c r="TMJ167"/>
      <c r="TMK167"/>
      <c r="TML167"/>
      <c r="TMM167"/>
      <c r="TMN167"/>
      <c r="TMO167"/>
      <c r="TMP167"/>
      <c r="TMQ167"/>
      <c r="TMR167"/>
      <c r="TMS167"/>
      <c r="TMT167"/>
      <c r="TMU167"/>
      <c r="TMV167"/>
      <c r="TMW167"/>
      <c r="TMX167"/>
      <c r="TMY167"/>
      <c r="TMZ167"/>
      <c r="TNA167"/>
      <c r="TNB167"/>
      <c r="TNC167"/>
      <c r="TND167"/>
      <c r="TNE167"/>
      <c r="TNF167"/>
      <c r="TNG167"/>
      <c r="TNH167"/>
      <c r="TNI167"/>
      <c r="TNJ167"/>
      <c r="TNK167"/>
      <c r="TNL167"/>
      <c r="TNM167"/>
      <c r="TNN167"/>
      <c r="TNO167"/>
      <c r="TNP167"/>
      <c r="TNQ167"/>
      <c r="TNR167"/>
      <c r="TNS167"/>
      <c r="TNT167"/>
      <c r="TNU167"/>
      <c r="TNV167"/>
      <c r="TNW167"/>
      <c r="TNX167"/>
      <c r="TNY167"/>
      <c r="TNZ167"/>
      <c r="TOA167"/>
      <c r="TOB167"/>
      <c r="TOC167"/>
      <c r="TOD167"/>
      <c r="TOE167"/>
      <c r="TOF167"/>
      <c r="TOG167"/>
      <c r="TOH167"/>
      <c r="TOI167"/>
      <c r="TOJ167"/>
      <c r="TOK167"/>
      <c r="TOL167"/>
      <c r="TOM167"/>
      <c r="TON167"/>
      <c r="TOO167"/>
      <c r="TOP167"/>
      <c r="TOQ167"/>
      <c r="TOR167"/>
      <c r="TOS167"/>
      <c r="TOT167"/>
      <c r="TOU167"/>
      <c r="TOV167"/>
      <c r="TOW167"/>
      <c r="TOX167"/>
      <c r="TOY167"/>
      <c r="TOZ167"/>
      <c r="TPA167"/>
      <c r="TPB167"/>
      <c r="TPC167"/>
      <c r="TPD167"/>
      <c r="TPE167"/>
      <c r="TPF167"/>
      <c r="TPG167"/>
      <c r="TPH167"/>
      <c r="TPI167"/>
      <c r="TPJ167"/>
      <c r="TPK167"/>
      <c r="TPL167"/>
      <c r="TPM167"/>
      <c r="TPN167"/>
      <c r="TPO167"/>
      <c r="TPP167"/>
      <c r="TPQ167"/>
      <c r="TPR167"/>
      <c r="TPS167"/>
      <c r="TPT167"/>
      <c r="TPU167"/>
      <c r="TPV167"/>
      <c r="TPW167"/>
      <c r="TPX167"/>
      <c r="TPY167"/>
      <c r="TPZ167"/>
      <c r="TQA167"/>
      <c r="TQB167"/>
      <c r="TQC167"/>
      <c r="TQD167"/>
      <c r="TQE167"/>
      <c r="TQF167"/>
      <c r="TQG167"/>
      <c r="TQH167"/>
      <c r="TQI167"/>
      <c r="TQJ167"/>
      <c r="TQK167"/>
      <c r="TQL167"/>
      <c r="TQM167"/>
      <c r="TQN167"/>
      <c r="TQO167"/>
      <c r="TQP167"/>
      <c r="TQQ167"/>
      <c r="TQR167"/>
      <c r="TQS167"/>
      <c r="TQT167"/>
      <c r="TQU167"/>
      <c r="TQV167"/>
      <c r="TQW167"/>
      <c r="TQX167"/>
      <c r="TQY167"/>
      <c r="TQZ167"/>
      <c r="TRA167"/>
      <c r="TRB167"/>
      <c r="TRC167"/>
      <c r="TRD167"/>
      <c r="TRE167"/>
      <c r="TRF167"/>
      <c r="TRG167"/>
      <c r="TRH167"/>
      <c r="TRI167"/>
      <c r="TRJ167"/>
      <c r="TRK167"/>
      <c r="TRL167"/>
      <c r="TRM167"/>
      <c r="TRN167"/>
      <c r="TRO167"/>
      <c r="TRP167"/>
      <c r="TRQ167"/>
      <c r="TRR167"/>
      <c r="TRS167"/>
      <c r="TRT167"/>
      <c r="TRU167"/>
      <c r="TRV167"/>
      <c r="TRW167"/>
      <c r="TRX167"/>
      <c r="TRY167"/>
      <c r="TRZ167"/>
      <c r="TSA167"/>
      <c r="TSB167"/>
      <c r="TSC167"/>
      <c r="TSD167"/>
      <c r="TSE167"/>
      <c r="TSF167"/>
      <c r="TSG167"/>
      <c r="TSH167"/>
      <c r="TSI167"/>
      <c r="TSJ167"/>
      <c r="TSK167"/>
      <c r="TSL167"/>
      <c r="TSM167"/>
      <c r="TSN167"/>
      <c r="TSO167"/>
      <c r="TSP167"/>
      <c r="TSQ167"/>
      <c r="TSR167"/>
      <c r="TSS167"/>
      <c r="TST167"/>
      <c r="TSU167"/>
      <c r="TSV167"/>
      <c r="TSW167"/>
      <c r="TSX167"/>
      <c r="TSY167"/>
      <c r="TSZ167"/>
      <c r="TTA167"/>
      <c r="TTB167"/>
      <c r="TTC167"/>
      <c r="TTD167"/>
      <c r="TTE167"/>
      <c r="TTF167"/>
      <c r="TTG167"/>
      <c r="TTH167"/>
      <c r="TTI167"/>
      <c r="TTJ167"/>
      <c r="TTK167"/>
      <c r="TTL167"/>
      <c r="TTM167"/>
      <c r="TTN167"/>
      <c r="TTO167"/>
      <c r="TTP167"/>
      <c r="TTQ167"/>
      <c r="TTR167"/>
      <c r="TTS167"/>
      <c r="TTT167"/>
      <c r="TTU167"/>
      <c r="TTV167"/>
      <c r="TTW167"/>
      <c r="TTX167"/>
      <c r="TTY167"/>
      <c r="TTZ167"/>
      <c r="TUA167"/>
      <c r="TUB167"/>
      <c r="TUC167"/>
      <c r="TUD167"/>
      <c r="TUE167"/>
      <c r="TUF167"/>
      <c r="TUG167"/>
      <c r="TUH167"/>
      <c r="TUI167"/>
      <c r="TUJ167"/>
      <c r="TUK167"/>
      <c r="TUL167"/>
      <c r="TUM167"/>
      <c r="TUN167"/>
      <c r="TUO167"/>
      <c r="TUP167"/>
      <c r="TUQ167"/>
      <c r="TUR167"/>
      <c r="TUS167"/>
      <c r="TUT167"/>
      <c r="TUU167"/>
      <c r="TUV167"/>
      <c r="TUW167"/>
      <c r="TUX167"/>
      <c r="TUY167"/>
      <c r="TUZ167"/>
      <c r="TVA167"/>
      <c r="TVB167"/>
      <c r="TVC167"/>
      <c r="TVD167"/>
      <c r="TVE167"/>
      <c r="TVF167"/>
      <c r="TVG167"/>
      <c r="TVH167"/>
      <c r="TVI167"/>
      <c r="TVJ167"/>
      <c r="TVK167"/>
      <c r="TVL167"/>
      <c r="TVM167"/>
      <c r="TVN167"/>
      <c r="TVO167"/>
      <c r="TVP167"/>
      <c r="TVQ167"/>
      <c r="TVR167"/>
      <c r="TVS167"/>
      <c r="TVT167"/>
      <c r="TVU167"/>
      <c r="TVV167"/>
      <c r="TVW167"/>
      <c r="TVX167"/>
      <c r="TVY167"/>
      <c r="TVZ167"/>
      <c r="TWA167"/>
      <c r="TWB167"/>
      <c r="TWC167"/>
      <c r="TWD167"/>
      <c r="TWE167"/>
      <c r="TWF167"/>
      <c r="TWG167"/>
      <c r="TWH167"/>
      <c r="TWI167"/>
      <c r="TWJ167"/>
      <c r="TWK167"/>
      <c r="TWL167"/>
      <c r="TWM167"/>
      <c r="TWN167"/>
      <c r="TWO167"/>
      <c r="TWP167"/>
      <c r="TWQ167"/>
      <c r="TWR167"/>
      <c r="TWS167"/>
      <c r="TWT167"/>
      <c r="TWU167"/>
      <c r="TWV167"/>
      <c r="TWW167"/>
      <c r="TWX167"/>
      <c r="TWY167"/>
      <c r="TWZ167"/>
      <c r="TXA167"/>
      <c r="TXB167"/>
      <c r="TXC167"/>
      <c r="TXD167"/>
      <c r="TXE167"/>
      <c r="TXF167"/>
      <c r="TXG167"/>
      <c r="TXH167"/>
      <c r="TXI167"/>
      <c r="TXJ167"/>
      <c r="TXK167"/>
      <c r="TXL167"/>
      <c r="TXM167"/>
      <c r="TXN167"/>
      <c r="TXO167"/>
      <c r="TXP167"/>
      <c r="TXQ167"/>
      <c r="TXR167"/>
      <c r="TXS167"/>
      <c r="TXT167"/>
      <c r="TXU167"/>
      <c r="TXV167"/>
      <c r="TXW167"/>
      <c r="TXX167"/>
      <c r="TXY167"/>
      <c r="TXZ167"/>
      <c r="TYA167"/>
      <c r="TYB167"/>
      <c r="TYC167"/>
      <c r="TYD167"/>
      <c r="TYE167"/>
      <c r="TYF167"/>
      <c r="TYG167"/>
      <c r="TYH167"/>
      <c r="TYI167"/>
      <c r="TYJ167"/>
      <c r="TYK167"/>
      <c r="TYL167"/>
      <c r="TYM167"/>
      <c r="TYN167"/>
      <c r="TYO167"/>
      <c r="TYP167"/>
      <c r="TYQ167"/>
      <c r="TYR167"/>
      <c r="TYS167"/>
      <c r="TYT167"/>
      <c r="TYU167"/>
      <c r="TYV167"/>
      <c r="TYW167"/>
      <c r="TYX167"/>
      <c r="TYY167"/>
      <c r="TYZ167"/>
      <c r="TZA167"/>
      <c r="TZB167"/>
      <c r="TZC167"/>
      <c r="TZD167"/>
      <c r="TZE167"/>
      <c r="TZF167"/>
      <c r="TZG167"/>
      <c r="TZH167"/>
      <c r="TZI167"/>
      <c r="TZJ167"/>
      <c r="TZK167"/>
      <c r="TZL167"/>
      <c r="TZM167"/>
      <c r="TZN167"/>
      <c r="TZO167"/>
      <c r="TZP167"/>
      <c r="TZQ167"/>
      <c r="TZR167"/>
      <c r="TZS167"/>
      <c r="TZT167"/>
      <c r="TZU167"/>
      <c r="TZV167"/>
      <c r="TZW167"/>
      <c r="TZX167"/>
      <c r="TZY167"/>
      <c r="TZZ167"/>
      <c r="UAA167"/>
      <c r="UAB167"/>
      <c r="UAC167"/>
      <c r="UAD167"/>
      <c r="UAE167"/>
      <c r="UAF167"/>
      <c r="UAG167"/>
      <c r="UAH167"/>
      <c r="UAI167"/>
      <c r="UAJ167"/>
      <c r="UAK167"/>
      <c r="UAL167"/>
      <c r="UAM167"/>
      <c r="UAN167"/>
      <c r="UAO167"/>
      <c r="UAP167"/>
      <c r="UAQ167"/>
      <c r="UAR167"/>
      <c r="UAS167"/>
      <c r="UAT167"/>
      <c r="UAU167"/>
      <c r="UAV167"/>
      <c r="UAW167"/>
      <c r="UAX167"/>
      <c r="UAY167"/>
      <c r="UAZ167"/>
      <c r="UBA167"/>
      <c r="UBB167"/>
      <c r="UBC167"/>
      <c r="UBD167"/>
      <c r="UBE167"/>
      <c r="UBF167"/>
      <c r="UBG167"/>
      <c r="UBH167"/>
      <c r="UBI167"/>
      <c r="UBJ167"/>
      <c r="UBK167"/>
      <c r="UBL167"/>
      <c r="UBM167"/>
      <c r="UBN167"/>
      <c r="UBO167"/>
      <c r="UBP167"/>
      <c r="UBQ167"/>
      <c r="UBR167"/>
      <c r="UBS167"/>
      <c r="UBT167"/>
      <c r="UBU167"/>
      <c r="UBV167"/>
      <c r="UBW167"/>
      <c r="UBX167"/>
      <c r="UBY167"/>
      <c r="UBZ167"/>
      <c r="UCA167"/>
      <c r="UCB167"/>
      <c r="UCC167"/>
      <c r="UCD167"/>
      <c r="UCE167"/>
      <c r="UCF167"/>
      <c r="UCG167"/>
      <c r="UCH167"/>
      <c r="UCI167"/>
      <c r="UCJ167"/>
      <c r="UCK167"/>
      <c r="UCL167"/>
      <c r="UCM167"/>
      <c r="UCN167"/>
      <c r="UCO167"/>
      <c r="UCP167"/>
      <c r="UCQ167"/>
      <c r="UCR167"/>
      <c r="UCS167"/>
      <c r="UCT167"/>
      <c r="UCU167"/>
      <c r="UCV167"/>
      <c r="UCW167"/>
      <c r="UCX167"/>
      <c r="UCY167"/>
      <c r="UCZ167"/>
      <c r="UDA167"/>
      <c r="UDB167"/>
      <c r="UDC167"/>
      <c r="UDD167"/>
      <c r="UDE167"/>
      <c r="UDF167"/>
      <c r="UDG167"/>
      <c r="UDH167"/>
      <c r="UDI167"/>
      <c r="UDJ167"/>
      <c r="UDK167"/>
      <c r="UDL167"/>
      <c r="UDM167"/>
      <c r="UDN167"/>
      <c r="UDO167"/>
      <c r="UDP167"/>
      <c r="UDQ167"/>
      <c r="UDR167"/>
      <c r="UDS167"/>
      <c r="UDT167"/>
      <c r="UDU167"/>
      <c r="UDV167"/>
      <c r="UDW167"/>
      <c r="UDX167"/>
      <c r="UDY167"/>
      <c r="UDZ167"/>
      <c r="UEA167"/>
      <c r="UEB167"/>
      <c r="UEC167"/>
      <c r="UED167"/>
      <c r="UEE167"/>
      <c r="UEF167"/>
      <c r="UEG167"/>
      <c r="UEH167"/>
      <c r="UEI167"/>
      <c r="UEJ167"/>
      <c r="UEK167"/>
      <c r="UEL167"/>
      <c r="UEM167"/>
      <c r="UEN167"/>
      <c r="UEO167"/>
      <c r="UEP167"/>
      <c r="UEQ167"/>
      <c r="UER167"/>
      <c r="UES167"/>
      <c r="UET167"/>
      <c r="UEU167"/>
      <c r="UEV167"/>
      <c r="UEW167"/>
      <c r="UEX167"/>
      <c r="UEY167"/>
      <c r="UEZ167"/>
      <c r="UFA167"/>
      <c r="UFB167"/>
      <c r="UFC167"/>
      <c r="UFD167"/>
      <c r="UFE167"/>
      <c r="UFF167"/>
      <c r="UFG167"/>
      <c r="UFH167"/>
      <c r="UFI167"/>
      <c r="UFJ167"/>
      <c r="UFK167"/>
      <c r="UFL167"/>
      <c r="UFM167"/>
      <c r="UFN167"/>
      <c r="UFO167"/>
      <c r="UFP167"/>
      <c r="UFQ167"/>
      <c r="UFR167"/>
      <c r="UFS167"/>
      <c r="UFT167"/>
      <c r="UFU167"/>
      <c r="UFV167"/>
      <c r="UFW167"/>
      <c r="UFX167"/>
      <c r="UFY167"/>
      <c r="UFZ167"/>
      <c r="UGA167"/>
      <c r="UGB167"/>
      <c r="UGC167"/>
      <c r="UGD167"/>
      <c r="UGE167"/>
      <c r="UGF167"/>
      <c r="UGG167"/>
      <c r="UGH167"/>
      <c r="UGI167"/>
      <c r="UGJ167"/>
      <c r="UGK167"/>
      <c r="UGL167"/>
      <c r="UGM167"/>
      <c r="UGN167"/>
      <c r="UGO167"/>
      <c r="UGP167"/>
      <c r="UGQ167"/>
      <c r="UGR167"/>
      <c r="UGS167"/>
      <c r="UGT167"/>
      <c r="UGU167"/>
      <c r="UGV167"/>
      <c r="UGW167"/>
      <c r="UGX167"/>
      <c r="UGY167"/>
      <c r="UGZ167"/>
      <c r="UHA167"/>
      <c r="UHB167"/>
      <c r="UHC167"/>
      <c r="UHD167"/>
      <c r="UHE167"/>
      <c r="UHF167"/>
      <c r="UHG167"/>
      <c r="UHH167"/>
      <c r="UHI167"/>
      <c r="UHJ167"/>
      <c r="UHK167"/>
      <c r="UHL167"/>
      <c r="UHM167"/>
      <c r="UHN167"/>
      <c r="UHO167"/>
      <c r="UHP167"/>
      <c r="UHQ167"/>
      <c r="UHR167"/>
      <c r="UHS167"/>
      <c r="UHT167"/>
      <c r="UHU167"/>
      <c r="UHV167"/>
      <c r="UHW167"/>
      <c r="UHX167"/>
      <c r="UHY167"/>
      <c r="UHZ167"/>
      <c r="UIA167"/>
      <c r="UIB167"/>
      <c r="UIC167"/>
      <c r="UID167"/>
      <c r="UIE167"/>
      <c r="UIF167"/>
      <c r="UIG167"/>
      <c r="UIH167"/>
      <c r="UII167"/>
      <c r="UIJ167"/>
      <c r="UIK167"/>
      <c r="UIL167"/>
      <c r="UIM167"/>
      <c r="UIN167"/>
      <c r="UIO167"/>
      <c r="UIP167"/>
      <c r="UIQ167"/>
      <c r="UIR167"/>
      <c r="UIS167"/>
      <c r="UIT167"/>
      <c r="UIU167"/>
      <c r="UIV167"/>
      <c r="UIW167"/>
      <c r="UIX167"/>
      <c r="UIY167"/>
      <c r="UIZ167"/>
      <c r="UJA167"/>
      <c r="UJB167"/>
      <c r="UJC167"/>
      <c r="UJD167"/>
      <c r="UJE167"/>
      <c r="UJF167"/>
      <c r="UJG167"/>
      <c r="UJH167"/>
      <c r="UJI167"/>
      <c r="UJJ167"/>
      <c r="UJK167"/>
      <c r="UJL167"/>
      <c r="UJM167"/>
      <c r="UJN167"/>
      <c r="UJO167"/>
      <c r="UJP167"/>
      <c r="UJQ167"/>
      <c r="UJR167"/>
      <c r="UJS167"/>
      <c r="UJT167"/>
      <c r="UJU167"/>
      <c r="UJV167"/>
      <c r="UJW167"/>
      <c r="UJX167"/>
      <c r="UJY167"/>
      <c r="UJZ167"/>
      <c r="UKA167"/>
      <c r="UKB167"/>
      <c r="UKC167"/>
      <c r="UKD167"/>
      <c r="UKE167"/>
      <c r="UKF167"/>
      <c r="UKG167"/>
      <c r="UKH167"/>
      <c r="UKI167"/>
      <c r="UKJ167"/>
      <c r="UKK167"/>
      <c r="UKL167"/>
      <c r="UKM167"/>
      <c r="UKN167"/>
      <c r="UKO167"/>
      <c r="UKP167"/>
      <c r="UKQ167"/>
      <c r="UKR167"/>
      <c r="UKS167"/>
      <c r="UKT167"/>
      <c r="UKU167"/>
      <c r="UKV167"/>
      <c r="UKW167"/>
      <c r="UKX167"/>
      <c r="UKY167"/>
      <c r="UKZ167"/>
      <c r="ULA167"/>
      <c r="ULB167"/>
      <c r="ULC167"/>
      <c r="ULD167"/>
      <c r="ULE167"/>
      <c r="ULF167"/>
      <c r="ULG167"/>
      <c r="ULH167"/>
      <c r="ULI167"/>
      <c r="ULJ167"/>
      <c r="ULK167"/>
      <c r="ULL167"/>
      <c r="ULM167"/>
      <c r="ULN167"/>
      <c r="ULO167"/>
      <c r="ULP167"/>
      <c r="ULQ167"/>
      <c r="ULR167"/>
      <c r="ULS167"/>
      <c r="ULT167"/>
      <c r="ULU167"/>
      <c r="ULV167"/>
      <c r="ULW167"/>
      <c r="ULX167"/>
      <c r="ULY167"/>
      <c r="ULZ167"/>
      <c r="UMA167"/>
      <c r="UMB167"/>
      <c r="UMC167"/>
      <c r="UMD167"/>
      <c r="UME167"/>
      <c r="UMF167"/>
      <c r="UMG167"/>
      <c r="UMH167"/>
      <c r="UMI167"/>
      <c r="UMJ167"/>
      <c r="UMK167"/>
      <c r="UML167"/>
      <c r="UMM167"/>
      <c r="UMN167"/>
      <c r="UMO167"/>
      <c r="UMP167"/>
      <c r="UMQ167"/>
      <c r="UMR167"/>
      <c r="UMS167"/>
      <c r="UMT167"/>
      <c r="UMU167"/>
      <c r="UMV167"/>
      <c r="UMW167"/>
      <c r="UMX167"/>
      <c r="UMY167"/>
      <c r="UMZ167"/>
      <c r="UNA167"/>
      <c r="UNB167"/>
      <c r="UNC167"/>
      <c r="UND167"/>
      <c r="UNE167"/>
      <c r="UNF167"/>
      <c r="UNG167"/>
      <c r="UNH167"/>
      <c r="UNI167"/>
      <c r="UNJ167"/>
      <c r="UNK167"/>
      <c r="UNL167"/>
      <c r="UNM167"/>
      <c r="UNN167"/>
      <c r="UNO167"/>
      <c r="UNP167"/>
      <c r="UNQ167"/>
      <c r="UNR167"/>
      <c r="UNS167"/>
      <c r="UNT167"/>
      <c r="UNU167"/>
      <c r="UNV167"/>
      <c r="UNW167"/>
      <c r="UNX167"/>
      <c r="UNY167"/>
      <c r="UNZ167"/>
      <c r="UOA167"/>
      <c r="UOB167"/>
      <c r="UOC167"/>
      <c r="UOD167"/>
      <c r="UOE167"/>
      <c r="UOF167"/>
      <c r="UOG167"/>
      <c r="UOH167"/>
      <c r="UOI167"/>
      <c r="UOJ167"/>
      <c r="UOK167"/>
      <c r="UOL167"/>
      <c r="UOM167"/>
      <c r="UON167"/>
      <c r="UOO167"/>
      <c r="UOP167"/>
      <c r="UOQ167"/>
      <c r="UOR167"/>
      <c r="UOS167"/>
      <c r="UOT167"/>
      <c r="UOU167"/>
      <c r="UOV167"/>
      <c r="UOW167"/>
      <c r="UOX167"/>
      <c r="UOY167"/>
      <c r="UOZ167"/>
      <c r="UPA167"/>
      <c r="UPB167"/>
      <c r="UPC167"/>
      <c r="UPD167"/>
      <c r="UPE167"/>
      <c r="UPF167"/>
      <c r="UPG167"/>
      <c r="UPH167"/>
      <c r="UPI167"/>
      <c r="UPJ167"/>
      <c r="UPK167"/>
      <c r="UPL167"/>
      <c r="UPM167"/>
      <c r="UPN167"/>
      <c r="UPO167"/>
      <c r="UPP167"/>
      <c r="UPQ167"/>
      <c r="UPR167"/>
      <c r="UPS167"/>
      <c r="UPT167"/>
      <c r="UPU167"/>
      <c r="UPV167"/>
      <c r="UPW167"/>
      <c r="UPX167"/>
      <c r="UPY167"/>
      <c r="UPZ167"/>
      <c r="UQA167"/>
      <c r="UQB167"/>
      <c r="UQC167"/>
      <c r="UQD167"/>
      <c r="UQE167"/>
      <c r="UQF167"/>
      <c r="UQG167"/>
      <c r="UQH167"/>
      <c r="UQI167"/>
      <c r="UQJ167"/>
      <c r="UQK167"/>
      <c r="UQL167"/>
      <c r="UQM167"/>
      <c r="UQN167"/>
      <c r="UQO167"/>
      <c r="UQP167"/>
      <c r="UQQ167"/>
      <c r="UQR167"/>
      <c r="UQS167"/>
      <c r="UQT167"/>
      <c r="UQU167"/>
      <c r="UQV167"/>
      <c r="UQW167"/>
      <c r="UQX167"/>
      <c r="UQY167"/>
      <c r="UQZ167"/>
      <c r="URA167"/>
      <c r="URB167"/>
      <c r="URC167"/>
      <c r="URD167"/>
      <c r="URE167"/>
      <c r="URF167"/>
      <c r="URG167"/>
      <c r="URH167"/>
      <c r="URI167"/>
      <c r="URJ167"/>
      <c r="URK167"/>
      <c r="URL167"/>
      <c r="URM167"/>
      <c r="URN167"/>
      <c r="URO167"/>
      <c r="URP167"/>
      <c r="URQ167"/>
      <c r="URR167"/>
      <c r="URS167"/>
      <c r="URT167"/>
      <c r="URU167"/>
      <c r="URV167"/>
      <c r="URW167"/>
      <c r="URX167"/>
      <c r="URY167"/>
      <c r="URZ167"/>
      <c r="USA167"/>
      <c r="USB167"/>
      <c r="USC167"/>
      <c r="USD167"/>
      <c r="USE167"/>
      <c r="USF167"/>
      <c r="USG167"/>
      <c r="USH167"/>
      <c r="USI167"/>
      <c r="USJ167"/>
      <c r="USK167"/>
      <c r="USL167"/>
      <c r="USM167"/>
      <c r="USN167"/>
      <c r="USO167"/>
      <c r="USP167"/>
      <c r="USQ167"/>
      <c r="USR167"/>
      <c r="USS167"/>
      <c r="UST167"/>
      <c r="USU167"/>
      <c r="USV167"/>
      <c r="USW167"/>
      <c r="USX167"/>
      <c r="USY167"/>
      <c r="USZ167"/>
      <c r="UTA167"/>
      <c r="UTB167"/>
      <c r="UTC167"/>
      <c r="UTD167"/>
      <c r="UTE167"/>
      <c r="UTF167"/>
      <c r="UTG167"/>
      <c r="UTH167"/>
      <c r="UTI167"/>
      <c r="UTJ167"/>
      <c r="UTK167"/>
      <c r="UTL167"/>
      <c r="UTM167"/>
      <c r="UTN167"/>
      <c r="UTO167"/>
      <c r="UTP167"/>
      <c r="UTQ167"/>
      <c r="UTR167"/>
      <c r="UTS167"/>
      <c r="UTT167"/>
      <c r="UTU167"/>
      <c r="UTV167"/>
      <c r="UTW167"/>
      <c r="UTX167"/>
      <c r="UTY167"/>
      <c r="UTZ167"/>
      <c r="UUA167"/>
      <c r="UUB167"/>
      <c r="UUC167"/>
      <c r="UUD167"/>
      <c r="UUE167"/>
      <c r="UUF167"/>
      <c r="UUG167"/>
      <c r="UUH167"/>
      <c r="UUI167"/>
      <c r="UUJ167"/>
      <c r="UUK167"/>
      <c r="UUL167"/>
      <c r="UUM167"/>
      <c r="UUN167"/>
      <c r="UUO167"/>
      <c r="UUP167"/>
      <c r="UUQ167"/>
      <c r="UUR167"/>
      <c r="UUS167"/>
      <c r="UUT167"/>
      <c r="UUU167"/>
      <c r="UUV167"/>
      <c r="UUW167"/>
      <c r="UUX167"/>
      <c r="UUY167"/>
      <c r="UUZ167"/>
      <c r="UVA167"/>
      <c r="UVB167"/>
      <c r="UVC167"/>
      <c r="UVD167"/>
      <c r="UVE167"/>
      <c r="UVF167"/>
      <c r="UVG167"/>
      <c r="UVH167"/>
      <c r="UVI167"/>
      <c r="UVJ167"/>
      <c r="UVK167"/>
      <c r="UVL167"/>
      <c r="UVM167"/>
      <c r="UVN167"/>
      <c r="UVO167"/>
      <c r="UVP167"/>
      <c r="UVQ167"/>
      <c r="UVR167"/>
      <c r="UVS167"/>
      <c r="UVT167"/>
      <c r="UVU167"/>
      <c r="UVV167"/>
      <c r="UVW167"/>
      <c r="UVX167"/>
      <c r="UVY167"/>
      <c r="UVZ167"/>
      <c r="UWA167"/>
      <c r="UWB167"/>
      <c r="UWC167"/>
      <c r="UWD167"/>
      <c r="UWE167"/>
      <c r="UWF167"/>
      <c r="UWG167"/>
      <c r="UWH167"/>
      <c r="UWI167"/>
      <c r="UWJ167"/>
      <c r="UWK167"/>
      <c r="UWL167"/>
      <c r="UWM167"/>
      <c r="UWN167"/>
      <c r="UWO167"/>
      <c r="UWP167"/>
      <c r="UWQ167"/>
      <c r="UWR167"/>
      <c r="UWS167"/>
      <c r="UWT167"/>
      <c r="UWU167"/>
      <c r="UWV167"/>
      <c r="UWW167"/>
      <c r="UWX167"/>
      <c r="UWY167"/>
      <c r="UWZ167"/>
      <c r="UXA167"/>
      <c r="UXB167"/>
      <c r="UXC167"/>
      <c r="UXD167"/>
      <c r="UXE167"/>
      <c r="UXF167"/>
      <c r="UXG167"/>
      <c r="UXH167"/>
      <c r="UXI167"/>
      <c r="UXJ167"/>
      <c r="UXK167"/>
      <c r="UXL167"/>
      <c r="UXM167"/>
      <c r="UXN167"/>
      <c r="UXO167"/>
      <c r="UXP167"/>
      <c r="UXQ167"/>
      <c r="UXR167"/>
      <c r="UXS167"/>
      <c r="UXT167"/>
      <c r="UXU167"/>
      <c r="UXV167"/>
      <c r="UXW167"/>
      <c r="UXX167"/>
      <c r="UXY167"/>
      <c r="UXZ167"/>
      <c r="UYA167"/>
      <c r="UYB167"/>
      <c r="UYC167"/>
      <c r="UYD167"/>
      <c r="UYE167"/>
      <c r="UYF167"/>
      <c r="UYG167"/>
      <c r="UYH167"/>
      <c r="UYI167"/>
      <c r="UYJ167"/>
      <c r="UYK167"/>
      <c r="UYL167"/>
      <c r="UYM167"/>
      <c r="UYN167"/>
      <c r="UYO167"/>
      <c r="UYP167"/>
      <c r="UYQ167"/>
      <c r="UYR167"/>
      <c r="UYS167"/>
      <c r="UYT167"/>
      <c r="UYU167"/>
      <c r="UYV167"/>
      <c r="UYW167"/>
      <c r="UYX167"/>
      <c r="UYY167"/>
      <c r="UYZ167"/>
      <c r="UZA167"/>
      <c r="UZB167"/>
      <c r="UZC167"/>
      <c r="UZD167"/>
      <c r="UZE167"/>
      <c r="UZF167"/>
      <c r="UZG167"/>
      <c r="UZH167"/>
      <c r="UZI167"/>
      <c r="UZJ167"/>
      <c r="UZK167"/>
      <c r="UZL167"/>
      <c r="UZM167"/>
      <c r="UZN167"/>
      <c r="UZO167"/>
      <c r="UZP167"/>
      <c r="UZQ167"/>
      <c r="UZR167"/>
      <c r="UZS167"/>
      <c r="UZT167"/>
      <c r="UZU167"/>
      <c r="UZV167"/>
      <c r="UZW167"/>
      <c r="UZX167"/>
      <c r="UZY167"/>
      <c r="UZZ167"/>
      <c r="VAA167"/>
      <c r="VAB167"/>
      <c r="VAC167"/>
      <c r="VAD167"/>
      <c r="VAE167"/>
      <c r="VAF167"/>
      <c r="VAG167"/>
      <c r="VAH167"/>
      <c r="VAI167"/>
      <c r="VAJ167"/>
      <c r="VAK167"/>
      <c r="VAL167"/>
      <c r="VAM167"/>
      <c r="VAN167"/>
      <c r="VAO167"/>
      <c r="VAP167"/>
      <c r="VAQ167"/>
      <c r="VAR167"/>
      <c r="VAS167"/>
      <c r="VAT167"/>
      <c r="VAU167"/>
      <c r="VAV167"/>
      <c r="VAW167"/>
      <c r="VAX167"/>
      <c r="VAY167"/>
      <c r="VAZ167"/>
      <c r="VBA167"/>
      <c r="VBB167"/>
      <c r="VBC167"/>
      <c r="VBD167"/>
      <c r="VBE167"/>
      <c r="VBF167"/>
      <c r="VBG167"/>
      <c r="VBH167"/>
      <c r="VBI167"/>
      <c r="VBJ167"/>
      <c r="VBK167"/>
      <c r="VBL167"/>
      <c r="VBM167"/>
      <c r="VBN167"/>
      <c r="VBO167"/>
      <c r="VBP167"/>
      <c r="VBQ167"/>
      <c r="VBR167"/>
      <c r="VBS167"/>
      <c r="VBT167"/>
      <c r="VBU167"/>
      <c r="VBV167"/>
      <c r="VBW167"/>
      <c r="VBX167"/>
      <c r="VBY167"/>
      <c r="VBZ167"/>
      <c r="VCA167"/>
      <c r="VCB167"/>
      <c r="VCC167"/>
      <c r="VCD167"/>
      <c r="VCE167"/>
      <c r="VCF167"/>
      <c r="VCG167"/>
      <c r="VCH167"/>
      <c r="VCI167"/>
      <c r="VCJ167"/>
      <c r="VCK167"/>
      <c r="VCL167"/>
      <c r="VCM167"/>
      <c r="VCN167"/>
      <c r="VCO167"/>
      <c r="VCP167"/>
      <c r="VCQ167"/>
      <c r="VCR167"/>
      <c r="VCS167"/>
      <c r="VCT167"/>
      <c r="VCU167"/>
      <c r="VCV167"/>
      <c r="VCW167"/>
      <c r="VCX167"/>
      <c r="VCY167"/>
      <c r="VCZ167"/>
      <c r="VDA167"/>
      <c r="VDB167"/>
      <c r="VDC167"/>
      <c r="VDD167"/>
      <c r="VDE167"/>
      <c r="VDF167"/>
      <c r="VDG167"/>
      <c r="VDH167"/>
      <c r="VDI167"/>
      <c r="VDJ167"/>
      <c r="VDK167"/>
      <c r="VDL167"/>
      <c r="VDM167"/>
      <c r="VDN167"/>
      <c r="VDO167"/>
      <c r="VDP167"/>
      <c r="VDQ167"/>
      <c r="VDR167"/>
      <c r="VDS167"/>
      <c r="VDT167"/>
      <c r="VDU167"/>
      <c r="VDV167"/>
      <c r="VDW167"/>
      <c r="VDX167"/>
      <c r="VDY167"/>
      <c r="VDZ167"/>
      <c r="VEA167"/>
      <c r="VEB167"/>
      <c r="VEC167"/>
      <c r="VED167"/>
      <c r="VEE167"/>
      <c r="VEF167"/>
      <c r="VEG167"/>
      <c r="VEH167"/>
      <c r="VEI167"/>
      <c r="VEJ167"/>
      <c r="VEK167"/>
      <c r="VEL167"/>
      <c r="VEM167"/>
      <c r="VEN167"/>
      <c r="VEO167"/>
      <c r="VEP167"/>
      <c r="VEQ167"/>
      <c r="VER167"/>
      <c r="VES167"/>
      <c r="VET167"/>
      <c r="VEU167"/>
      <c r="VEV167"/>
      <c r="VEW167"/>
      <c r="VEX167"/>
      <c r="VEY167"/>
      <c r="VEZ167"/>
      <c r="VFA167"/>
      <c r="VFB167"/>
      <c r="VFC167"/>
      <c r="VFD167"/>
      <c r="VFE167"/>
      <c r="VFF167"/>
      <c r="VFG167"/>
      <c r="VFH167"/>
      <c r="VFI167"/>
      <c r="VFJ167"/>
      <c r="VFK167"/>
      <c r="VFL167"/>
      <c r="VFM167"/>
      <c r="VFN167"/>
      <c r="VFO167"/>
      <c r="VFP167"/>
      <c r="VFQ167"/>
      <c r="VFR167"/>
      <c r="VFS167"/>
      <c r="VFT167"/>
      <c r="VFU167"/>
      <c r="VFV167"/>
      <c r="VFW167"/>
      <c r="VFX167"/>
      <c r="VFY167"/>
      <c r="VFZ167"/>
      <c r="VGA167"/>
      <c r="VGB167"/>
      <c r="VGC167"/>
      <c r="VGD167"/>
      <c r="VGE167"/>
      <c r="VGF167"/>
      <c r="VGG167"/>
      <c r="VGH167"/>
      <c r="VGI167"/>
      <c r="VGJ167"/>
      <c r="VGK167"/>
      <c r="VGL167"/>
      <c r="VGM167"/>
      <c r="VGN167"/>
      <c r="VGO167"/>
      <c r="VGP167"/>
      <c r="VGQ167"/>
      <c r="VGR167"/>
      <c r="VGS167"/>
      <c r="VGT167"/>
      <c r="VGU167"/>
      <c r="VGV167"/>
      <c r="VGW167"/>
      <c r="VGX167"/>
      <c r="VGY167"/>
      <c r="VGZ167"/>
      <c r="VHA167"/>
      <c r="VHB167"/>
      <c r="VHC167"/>
      <c r="VHD167"/>
      <c r="VHE167"/>
      <c r="VHF167"/>
      <c r="VHG167"/>
      <c r="VHH167"/>
      <c r="VHI167"/>
      <c r="VHJ167"/>
      <c r="VHK167"/>
      <c r="VHL167"/>
      <c r="VHM167"/>
      <c r="VHN167"/>
      <c r="VHO167"/>
      <c r="VHP167"/>
      <c r="VHQ167"/>
      <c r="VHR167"/>
      <c r="VHS167"/>
      <c r="VHT167"/>
      <c r="VHU167"/>
      <c r="VHV167"/>
      <c r="VHW167"/>
      <c r="VHX167"/>
      <c r="VHY167"/>
      <c r="VHZ167"/>
      <c r="VIA167"/>
      <c r="VIB167"/>
      <c r="VIC167"/>
      <c r="VID167"/>
      <c r="VIE167"/>
      <c r="VIF167"/>
      <c r="VIG167"/>
      <c r="VIH167"/>
      <c r="VII167"/>
      <c r="VIJ167"/>
      <c r="VIK167"/>
      <c r="VIL167"/>
      <c r="VIM167"/>
      <c r="VIN167"/>
      <c r="VIO167"/>
      <c r="VIP167"/>
      <c r="VIQ167"/>
      <c r="VIR167"/>
      <c r="VIS167"/>
      <c r="VIT167"/>
      <c r="VIU167"/>
      <c r="VIV167"/>
      <c r="VIW167"/>
      <c r="VIX167"/>
      <c r="VIY167"/>
      <c r="VIZ167"/>
      <c r="VJA167"/>
      <c r="VJB167"/>
      <c r="VJC167"/>
      <c r="VJD167"/>
      <c r="VJE167"/>
      <c r="VJF167"/>
      <c r="VJG167"/>
      <c r="VJH167"/>
      <c r="VJI167"/>
      <c r="VJJ167"/>
      <c r="VJK167"/>
      <c r="VJL167"/>
      <c r="VJM167"/>
      <c r="VJN167"/>
      <c r="VJO167"/>
      <c r="VJP167"/>
      <c r="VJQ167"/>
      <c r="VJR167"/>
      <c r="VJS167"/>
      <c r="VJT167"/>
      <c r="VJU167"/>
      <c r="VJV167"/>
      <c r="VJW167"/>
      <c r="VJX167"/>
      <c r="VJY167"/>
      <c r="VJZ167"/>
      <c r="VKA167"/>
      <c r="VKB167"/>
      <c r="VKC167"/>
      <c r="VKD167"/>
      <c r="VKE167"/>
      <c r="VKF167"/>
      <c r="VKG167"/>
      <c r="VKH167"/>
      <c r="VKI167"/>
      <c r="VKJ167"/>
      <c r="VKK167"/>
      <c r="VKL167"/>
      <c r="VKM167"/>
      <c r="VKN167"/>
      <c r="VKO167"/>
      <c r="VKP167"/>
      <c r="VKQ167"/>
      <c r="VKR167"/>
      <c r="VKS167"/>
      <c r="VKT167"/>
      <c r="VKU167"/>
      <c r="VKV167"/>
      <c r="VKW167"/>
      <c r="VKX167"/>
      <c r="VKY167"/>
      <c r="VKZ167"/>
      <c r="VLA167"/>
      <c r="VLB167"/>
      <c r="VLC167"/>
      <c r="VLD167"/>
      <c r="VLE167"/>
      <c r="VLF167"/>
      <c r="VLG167"/>
      <c r="VLH167"/>
      <c r="VLI167"/>
      <c r="VLJ167"/>
      <c r="VLK167"/>
      <c r="VLL167"/>
      <c r="VLM167"/>
      <c r="VLN167"/>
      <c r="VLO167"/>
      <c r="VLP167"/>
      <c r="VLQ167"/>
      <c r="VLR167"/>
      <c r="VLS167"/>
      <c r="VLT167"/>
      <c r="VLU167"/>
      <c r="VLV167"/>
      <c r="VLW167"/>
      <c r="VLX167"/>
      <c r="VLY167"/>
      <c r="VLZ167"/>
      <c r="VMA167"/>
      <c r="VMB167"/>
      <c r="VMC167"/>
      <c r="VMD167"/>
      <c r="VME167"/>
      <c r="VMF167"/>
      <c r="VMG167"/>
      <c r="VMH167"/>
      <c r="VMI167"/>
      <c r="VMJ167"/>
      <c r="VMK167"/>
      <c r="VML167"/>
      <c r="VMM167"/>
      <c r="VMN167"/>
      <c r="VMO167"/>
      <c r="VMP167"/>
      <c r="VMQ167"/>
      <c r="VMR167"/>
      <c r="VMS167"/>
      <c r="VMT167"/>
      <c r="VMU167"/>
      <c r="VMV167"/>
      <c r="VMW167"/>
      <c r="VMX167"/>
      <c r="VMY167"/>
      <c r="VMZ167"/>
      <c r="VNA167"/>
      <c r="VNB167"/>
      <c r="VNC167"/>
      <c r="VND167"/>
      <c r="VNE167"/>
      <c r="VNF167"/>
      <c r="VNG167"/>
      <c r="VNH167"/>
      <c r="VNI167"/>
      <c r="VNJ167"/>
      <c r="VNK167"/>
      <c r="VNL167"/>
      <c r="VNM167"/>
      <c r="VNN167"/>
      <c r="VNO167"/>
      <c r="VNP167"/>
      <c r="VNQ167"/>
      <c r="VNR167"/>
      <c r="VNS167"/>
      <c r="VNT167"/>
      <c r="VNU167"/>
      <c r="VNV167"/>
      <c r="VNW167"/>
      <c r="VNX167"/>
      <c r="VNY167"/>
      <c r="VNZ167"/>
      <c r="VOA167"/>
      <c r="VOB167"/>
      <c r="VOC167"/>
      <c r="VOD167"/>
      <c r="VOE167"/>
      <c r="VOF167"/>
      <c r="VOG167"/>
      <c r="VOH167"/>
      <c r="VOI167"/>
      <c r="VOJ167"/>
      <c r="VOK167"/>
      <c r="VOL167"/>
      <c r="VOM167"/>
      <c r="VON167"/>
      <c r="VOO167"/>
      <c r="VOP167"/>
      <c r="VOQ167"/>
      <c r="VOR167"/>
      <c r="VOS167"/>
      <c r="VOT167"/>
      <c r="VOU167"/>
      <c r="VOV167"/>
      <c r="VOW167"/>
      <c r="VOX167"/>
      <c r="VOY167"/>
      <c r="VOZ167"/>
      <c r="VPA167"/>
      <c r="VPB167"/>
      <c r="VPC167"/>
      <c r="VPD167"/>
      <c r="VPE167"/>
      <c r="VPF167"/>
      <c r="VPG167"/>
      <c r="VPH167"/>
      <c r="VPI167"/>
      <c r="VPJ167"/>
      <c r="VPK167"/>
      <c r="VPL167"/>
      <c r="VPM167"/>
      <c r="VPN167"/>
      <c r="VPO167"/>
      <c r="VPP167"/>
      <c r="VPQ167"/>
      <c r="VPR167"/>
      <c r="VPS167"/>
      <c r="VPT167"/>
      <c r="VPU167"/>
      <c r="VPV167"/>
      <c r="VPW167"/>
      <c r="VPX167"/>
      <c r="VPY167"/>
      <c r="VPZ167"/>
      <c r="VQA167"/>
      <c r="VQB167"/>
      <c r="VQC167"/>
      <c r="VQD167"/>
      <c r="VQE167"/>
      <c r="VQF167"/>
      <c r="VQG167"/>
      <c r="VQH167"/>
      <c r="VQI167"/>
      <c r="VQJ167"/>
      <c r="VQK167"/>
      <c r="VQL167"/>
      <c r="VQM167"/>
      <c r="VQN167"/>
      <c r="VQO167"/>
      <c r="VQP167"/>
      <c r="VQQ167"/>
      <c r="VQR167"/>
      <c r="VQS167"/>
      <c r="VQT167"/>
      <c r="VQU167"/>
      <c r="VQV167"/>
      <c r="VQW167"/>
      <c r="VQX167"/>
      <c r="VQY167"/>
      <c r="VQZ167"/>
      <c r="VRA167"/>
      <c r="VRB167"/>
      <c r="VRC167"/>
      <c r="VRD167"/>
      <c r="VRE167"/>
      <c r="VRF167"/>
      <c r="VRG167"/>
      <c r="VRH167"/>
      <c r="VRI167"/>
      <c r="VRJ167"/>
      <c r="VRK167"/>
      <c r="VRL167"/>
      <c r="VRM167"/>
      <c r="VRN167"/>
      <c r="VRO167"/>
      <c r="VRP167"/>
      <c r="VRQ167"/>
      <c r="VRR167"/>
      <c r="VRS167"/>
      <c r="VRT167"/>
      <c r="VRU167"/>
      <c r="VRV167"/>
      <c r="VRW167"/>
      <c r="VRX167"/>
      <c r="VRY167"/>
      <c r="VRZ167"/>
      <c r="VSA167"/>
      <c r="VSB167"/>
      <c r="VSC167"/>
      <c r="VSD167"/>
      <c r="VSE167"/>
      <c r="VSF167"/>
      <c r="VSG167"/>
      <c r="VSH167"/>
      <c r="VSI167"/>
      <c r="VSJ167"/>
      <c r="VSK167"/>
      <c r="VSL167"/>
      <c r="VSM167"/>
      <c r="VSN167"/>
      <c r="VSO167"/>
      <c r="VSP167"/>
      <c r="VSQ167"/>
      <c r="VSR167"/>
      <c r="VSS167"/>
      <c r="VST167"/>
      <c r="VSU167"/>
      <c r="VSV167"/>
      <c r="VSW167"/>
      <c r="VSX167"/>
      <c r="VSY167"/>
      <c r="VSZ167"/>
      <c r="VTA167"/>
      <c r="VTB167"/>
      <c r="VTC167"/>
      <c r="VTD167"/>
      <c r="VTE167"/>
      <c r="VTF167"/>
      <c r="VTG167"/>
      <c r="VTH167"/>
      <c r="VTI167"/>
      <c r="VTJ167"/>
      <c r="VTK167"/>
      <c r="VTL167"/>
      <c r="VTM167"/>
      <c r="VTN167"/>
      <c r="VTO167"/>
      <c r="VTP167"/>
      <c r="VTQ167"/>
      <c r="VTR167"/>
      <c r="VTS167"/>
      <c r="VTT167"/>
      <c r="VTU167"/>
      <c r="VTV167"/>
      <c r="VTW167"/>
      <c r="VTX167"/>
      <c r="VTY167"/>
      <c r="VTZ167"/>
      <c r="VUA167"/>
      <c r="VUB167"/>
      <c r="VUC167"/>
      <c r="VUD167"/>
      <c r="VUE167"/>
      <c r="VUF167"/>
      <c r="VUG167"/>
      <c r="VUH167"/>
      <c r="VUI167"/>
      <c r="VUJ167"/>
      <c r="VUK167"/>
      <c r="VUL167"/>
      <c r="VUM167"/>
      <c r="VUN167"/>
      <c r="VUO167"/>
      <c r="VUP167"/>
      <c r="VUQ167"/>
      <c r="VUR167"/>
      <c r="VUS167"/>
      <c r="VUT167"/>
      <c r="VUU167"/>
      <c r="VUV167"/>
      <c r="VUW167"/>
      <c r="VUX167"/>
      <c r="VUY167"/>
      <c r="VUZ167"/>
      <c r="VVA167"/>
      <c r="VVB167"/>
      <c r="VVC167"/>
      <c r="VVD167"/>
      <c r="VVE167"/>
      <c r="VVF167"/>
      <c r="VVG167"/>
      <c r="VVH167"/>
      <c r="VVI167"/>
      <c r="VVJ167"/>
      <c r="VVK167"/>
      <c r="VVL167"/>
      <c r="VVM167"/>
      <c r="VVN167"/>
      <c r="VVO167"/>
      <c r="VVP167"/>
      <c r="VVQ167"/>
      <c r="VVR167"/>
      <c r="VVS167"/>
      <c r="VVT167"/>
      <c r="VVU167"/>
      <c r="VVV167"/>
      <c r="VVW167"/>
      <c r="VVX167"/>
      <c r="VVY167"/>
      <c r="VVZ167"/>
      <c r="VWA167"/>
      <c r="VWB167"/>
      <c r="VWC167"/>
      <c r="VWD167"/>
      <c r="VWE167"/>
      <c r="VWF167"/>
      <c r="VWG167"/>
      <c r="VWH167"/>
      <c r="VWI167"/>
      <c r="VWJ167"/>
      <c r="VWK167"/>
      <c r="VWL167"/>
      <c r="VWM167"/>
      <c r="VWN167"/>
      <c r="VWO167"/>
      <c r="VWP167"/>
      <c r="VWQ167"/>
      <c r="VWR167"/>
      <c r="VWS167"/>
      <c r="VWT167"/>
      <c r="VWU167"/>
      <c r="VWV167"/>
      <c r="VWW167"/>
      <c r="VWX167"/>
      <c r="VWY167"/>
      <c r="VWZ167"/>
      <c r="VXA167"/>
      <c r="VXB167"/>
      <c r="VXC167"/>
      <c r="VXD167"/>
      <c r="VXE167"/>
      <c r="VXF167"/>
      <c r="VXG167"/>
      <c r="VXH167"/>
      <c r="VXI167"/>
      <c r="VXJ167"/>
      <c r="VXK167"/>
      <c r="VXL167"/>
      <c r="VXM167"/>
      <c r="VXN167"/>
      <c r="VXO167"/>
      <c r="VXP167"/>
      <c r="VXQ167"/>
      <c r="VXR167"/>
      <c r="VXS167"/>
      <c r="VXT167"/>
      <c r="VXU167"/>
      <c r="VXV167"/>
      <c r="VXW167"/>
      <c r="VXX167"/>
      <c r="VXY167"/>
      <c r="VXZ167"/>
      <c r="VYA167"/>
      <c r="VYB167"/>
      <c r="VYC167"/>
      <c r="VYD167"/>
      <c r="VYE167"/>
      <c r="VYF167"/>
      <c r="VYG167"/>
      <c r="VYH167"/>
      <c r="VYI167"/>
      <c r="VYJ167"/>
      <c r="VYK167"/>
      <c r="VYL167"/>
      <c r="VYM167"/>
      <c r="VYN167"/>
      <c r="VYO167"/>
      <c r="VYP167"/>
      <c r="VYQ167"/>
      <c r="VYR167"/>
      <c r="VYS167"/>
      <c r="VYT167"/>
      <c r="VYU167"/>
      <c r="VYV167"/>
      <c r="VYW167"/>
      <c r="VYX167"/>
      <c r="VYY167"/>
      <c r="VYZ167"/>
      <c r="VZA167"/>
      <c r="VZB167"/>
      <c r="VZC167"/>
      <c r="VZD167"/>
      <c r="VZE167"/>
      <c r="VZF167"/>
      <c r="VZG167"/>
      <c r="VZH167"/>
      <c r="VZI167"/>
      <c r="VZJ167"/>
      <c r="VZK167"/>
      <c r="VZL167"/>
      <c r="VZM167"/>
      <c r="VZN167"/>
      <c r="VZO167"/>
      <c r="VZP167"/>
      <c r="VZQ167"/>
      <c r="VZR167"/>
      <c r="VZS167"/>
      <c r="VZT167"/>
      <c r="VZU167"/>
      <c r="VZV167"/>
      <c r="VZW167"/>
      <c r="VZX167"/>
      <c r="VZY167"/>
      <c r="VZZ167"/>
      <c r="WAA167"/>
      <c r="WAB167"/>
      <c r="WAC167"/>
      <c r="WAD167"/>
      <c r="WAE167"/>
      <c r="WAF167"/>
      <c r="WAG167"/>
      <c r="WAH167"/>
      <c r="WAI167"/>
      <c r="WAJ167"/>
      <c r="WAK167"/>
      <c r="WAL167"/>
      <c r="WAM167"/>
      <c r="WAN167"/>
      <c r="WAO167"/>
      <c r="WAP167"/>
      <c r="WAQ167"/>
      <c r="WAR167"/>
      <c r="WAS167"/>
      <c r="WAT167"/>
      <c r="WAU167"/>
      <c r="WAV167"/>
      <c r="WAW167"/>
      <c r="WAX167"/>
      <c r="WAY167"/>
      <c r="WAZ167"/>
      <c r="WBA167"/>
      <c r="WBB167"/>
      <c r="WBC167"/>
      <c r="WBD167"/>
      <c r="WBE167"/>
      <c r="WBF167"/>
      <c r="WBG167"/>
      <c r="WBH167"/>
      <c r="WBI167"/>
      <c r="WBJ167"/>
      <c r="WBK167"/>
      <c r="WBL167"/>
      <c r="WBM167"/>
      <c r="WBN167"/>
      <c r="WBO167"/>
      <c r="WBP167"/>
      <c r="WBQ167"/>
      <c r="WBR167"/>
      <c r="WBS167"/>
      <c r="WBT167"/>
      <c r="WBU167"/>
      <c r="WBV167"/>
      <c r="WBW167"/>
      <c r="WBX167"/>
      <c r="WBY167"/>
      <c r="WBZ167"/>
      <c r="WCA167"/>
      <c r="WCB167"/>
      <c r="WCC167"/>
      <c r="WCD167"/>
      <c r="WCE167"/>
      <c r="WCF167"/>
      <c r="WCG167"/>
      <c r="WCH167"/>
      <c r="WCI167"/>
      <c r="WCJ167"/>
      <c r="WCK167"/>
      <c r="WCL167"/>
      <c r="WCM167"/>
      <c r="WCN167"/>
      <c r="WCO167"/>
      <c r="WCP167"/>
      <c r="WCQ167"/>
      <c r="WCR167"/>
      <c r="WCS167"/>
      <c r="WCT167"/>
      <c r="WCU167"/>
      <c r="WCV167"/>
      <c r="WCW167"/>
      <c r="WCX167"/>
      <c r="WCY167"/>
      <c r="WCZ167"/>
      <c r="WDA167"/>
      <c r="WDB167"/>
      <c r="WDC167"/>
      <c r="WDD167"/>
      <c r="WDE167"/>
      <c r="WDF167"/>
      <c r="WDG167"/>
      <c r="WDH167"/>
      <c r="WDI167"/>
      <c r="WDJ167"/>
      <c r="WDK167"/>
      <c r="WDL167"/>
      <c r="WDM167"/>
      <c r="WDN167"/>
      <c r="WDO167"/>
      <c r="WDP167"/>
      <c r="WDQ167"/>
      <c r="WDR167"/>
      <c r="WDS167"/>
      <c r="WDT167"/>
      <c r="WDU167"/>
      <c r="WDV167"/>
      <c r="WDW167"/>
      <c r="WDX167"/>
      <c r="WDY167"/>
      <c r="WDZ167"/>
      <c r="WEA167"/>
      <c r="WEB167"/>
      <c r="WEC167"/>
      <c r="WED167"/>
      <c r="WEE167"/>
      <c r="WEF167"/>
      <c r="WEG167"/>
      <c r="WEH167"/>
      <c r="WEI167"/>
      <c r="WEJ167"/>
      <c r="WEK167"/>
      <c r="WEL167"/>
      <c r="WEM167"/>
      <c r="WEN167"/>
      <c r="WEO167"/>
      <c r="WEP167"/>
      <c r="WEQ167"/>
      <c r="WER167"/>
      <c r="WES167"/>
      <c r="WET167"/>
      <c r="WEU167"/>
      <c r="WEV167"/>
      <c r="WEW167"/>
      <c r="WEX167"/>
      <c r="WEY167"/>
      <c r="WEZ167"/>
      <c r="WFA167"/>
      <c r="WFB167"/>
      <c r="WFC167"/>
      <c r="WFD167"/>
      <c r="WFE167"/>
      <c r="WFF167"/>
      <c r="WFG167"/>
      <c r="WFH167"/>
      <c r="WFI167"/>
      <c r="WFJ167"/>
      <c r="WFK167"/>
      <c r="WFL167"/>
      <c r="WFM167"/>
      <c r="WFN167"/>
      <c r="WFO167"/>
      <c r="WFP167"/>
      <c r="WFQ167"/>
      <c r="WFR167"/>
      <c r="WFS167"/>
      <c r="WFT167"/>
      <c r="WFU167"/>
      <c r="WFV167"/>
      <c r="WFW167"/>
      <c r="WFX167"/>
      <c r="WFY167"/>
      <c r="WFZ167"/>
      <c r="WGA167"/>
      <c r="WGB167"/>
      <c r="WGC167"/>
      <c r="WGD167"/>
      <c r="WGE167"/>
      <c r="WGF167"/>
      <c r="WGG167"/>
      <c r="WGH167"/>
      <c r="WGI167"/>
      <c r="WGJ167"/>
      <c r="WGK167"/>
      <c r="WGL167"/>
      <c r="WGM167"/>
      <c r="WGN167"/>
      <c r="WGO167"/>
      <c r="WGP167"/>
      <c r="WGQ167"/>
      <c r="WGR167"/>
      <c r="WGS167"/>
      <c r="WGT167"/>
      <c r="WGU167"/>
      <c r="WGV167"/>
      <c r="WGW167"/>
      <c r="WGX167"/>
      <c r="WGY167"/>
      <c r="WGZ167"/>
      <c r="WHA167"/>
      <c r="WHB167"/>
      <c r="WHC167"/>
      <c r="WHD167"/>
      <c r="WHE167"/>
      <c r="WHF167"/>
      <c r="WHG167"/>
      <c r="WHH167"/>
      <c r="WHI167"/>
      <c r="WHJ167"/>
      <c r="WHK167"/>
      <c r="WHL167"/>
      <c r="WHM167"/>
      <c r="WHN167"/>
      <c r="WHO167"/>
      <c r="WHP167"/>
      <c r="WHQ167"/>
      <c r="WHR167"/>
      <c r="WHS167"/>
      <c r="WHT167"/>
      <c r="WHU167"/>
      <c r="WHV167"/>
      <c r="WHW167"/>
      <c r="WHX167"/>
      <c r="WHY167"/>
      <c r="WHZ167"/>
      <c r="WIA167"/>
      <c r="WIB167"/>
      <c r="WIC167"/>
      <c r="WID167"/>
      <c r="WIE167"/>
      <c r="WIF167"/>
      <c r="WIG167"/>
      <c r="WIH167"/>
      <c r="WII167"/>
      <c r="WIJ167"/>
      <c r="WIK167"/>
      <c r="WIL167"/>
      <c r="WIM167"/>
      <c r="WIN167"/>
      <c r="WIO167"/>
      <c r="WIP167"/>
      <c r="WIQ167"/>
      <c r="WIR167"/>
      <c r="WIS167"/>
      <c r="WIT167"/>
      <c r="WIU167"/>
      <c r="WIV167"/>
      <c r="WIW167"/>
      <c r="WIX167"/>
      <c r="WIY167"/>
      <c r="WIZ167"/>
      <c r="WJA167"/>
      <c r="WJB167"/>
      <c r="WJC167"/>
      <c r="WJD167"/>
      <c r="WJE167"/>
      <c r="WJF167"/>
      <c r="WJG167"/>
      <c r="WJH167"/>
      <c r="WJI167"/>
      <c r="WJJ167"/>
      <c r="WJK167"/>
      <c r="WJL167"/>
      <c r="WJM167"/>
      <c r="WJN167"/>
      <c r="WJO167"/>
      <c r="WJP167"/>
      <c r="WJQ167"/>
      <c r="WJR167"/>
      <c r="WJS167"/>
      <c r="WJT167"/>
      <c r="WJU167"/>
      <c r="WJV167"/>
      <c r="WJW167"/>
      <c r="WJX167"/>
      <c r="WJY167"/>
      <c r="WJZ167"/>
      <c r="WKA167"/>
      <c r="WKB167"/>
      <c r="WKC167"/>
      <c r="WKD167"/>
      <c r="WKE167"/>
      <c r="WKF167"/>
      <c r="WKG167"/>
      <c r="WKH167"/>
      <c r="WKI167"/>
      <c r="WKJ167"/>
      <c r="WKK167"/>
      <c r="WKL167"/>
      <c r="WKM167"/>
      <c r="WKN167"/>
      <c r="WKO167"/>
      <c r="WKP167"/>
      <c r="WKQ167"/>
      <c r="WKR167"/>
      <c r="WKS167"/>
      <c r="WKT167"/>
      <c r="WKU167"/>
      <c r="WKV167"/>
      <c r="WKW167"/>
      <c r="WKX167"/>
      <c r="WKY167"/>
      <c r="WKZ167"/>
      <c r="WLA167"/>
      <c r="WLB167"/>
      <c r="WLC167"/>
      <c r="WLD167"/>
      <c r="WLE167"/>
      <c r="WLF167"/>
      <c r="WLG167"/>
      <c r="WLH167"/>
      <c r="WLI167"/>
      <c r="WLJ167"/>
      <c r="WLK167"/>
      <c r="WLL167"/>
      <c r="WLM167"/>
      <c r="WLN167"/>
      <c r="WLO167"/>
      <c r="WLP167"/>
      <c r="WLQ167"/>
      <c r="WLR167"/>
      <c r="WLS167"/>
      <c r="WLT167"/>
      <c r="WLU167"/>
      <c r="WLV167"/>
      <c r="WLW167"/>
      <c r="WLX167"/>
      <c r="WLY167"/>
      <c r="WLZ167"/>
      <c r="WMA167"/>
      <c r="WMB167"/>
      <c r="WMC167"/>
      <c r="WMD167"/>
      <c r="WME167"/>
      <c r="WMF167"/>
      <c r="WMG167"/>
      <c r="WMH167"/>
      <c r="WMI167"/>
      <c r="WMJ167"/>
      <c r="WMK167"/>
      <c r="WML167"/>
      <c r="WMM167"/>
      <c r="WMN167"/>
      <c r="WMO167"/>
      <c r="WMP167"/>
      <c r="WMQ167"/>
      <c r="WMR167"/>
      <c r="WMS167"/>
      <c r="WMT167"/>
      <c r="WMU167"/>
      <c r="WMV167"/>
      <c r="WMW167"/>
      <c r="WMX167"/>
      <c r="WMY167"/>
      <c r="WMZ167"/>
      <c r="WNA167"/>
      <c r="WNB167"/>
      <c r="WNC167"/>
      <c r="WND167"/>
      <c r="WNE167"/>
      <c r="WNF167"/>
      <c r="WNG167"/>
      <c r="WNH167"/>
      <c r="WNI167"/>
      <c r="WNJ167"/>
      <c r="WNK167"/>
      <c r="WNL167"/>
      <c r="WNM167"/>
      <c r="WNN167"/>
      <c r="WNO167"/>
      <c r="WNP167"/>
      <c r="WNQ167"/>
      <c r="WNR167"/>
      <c r="WNS167"/>
      <c r="WNT167"/>
      <c r="WNU167"/>
      <c r="WNV167"/>
      <c r="WNW167"/>
      <c r="WNX167"/>
      <c r="WNY167"/>
      <c r="WNZ167"/>
      <c r="WOA167"/>
      <c r="WOB167"/>
      <c r="WOC167"/>
      <c r="WOD167"/>
      <c r="WOE167"/>
      <c r="WOF167"/>
      <c r="WOG167"/>
      <c r="WOH167"/>
      <c r="WOI167"/>
      <c r="WOJ167"/>
      <c r="WOK167"/>
      <c r="WOL167"/>
      <c r="WOM167"/>
      <c r="WON167"/>
      <c r="WOO167"/>
      <c r="WOP167"/>
      <c r="WOQ167"/>
      <c r="WOR167"/>
      <c r="WOS167"/>
      <c r="WOT167"/>
      <c r="WOU167"/>
      <c r="WOV167"/>
      <c r="WOW167"/>
      <c r="WOX167"/>
      <c r="WOY167"/>
      <c r="WOZ167"/>
      <c r="WPA167"/>
      <c r="WPB167"/>
      <c r="WPC167"/>
      <c r="WPD167"/>
      <c r="WPE167"/>
      <c r="WPF167"/>
      <c r="WPG167"/>
      <c r="WPH167"/>
      <c r="WPI167"/>
      <c r="WPJ167"/>
      <c r="WPK167"/>
      <c r="WPL167"/>
      <c r="WPM167"/>
      <c r="WPN167"/>
      <c r="WPO167"/>
      <c r="WPP167"/>
      <c r="WPQ167"/>
      <c r="WPR167"/>
      <c r="WPS167"/>
      <c r="WPT167"/>
      <c r="WPU167"/>
      <c r="WPV167"/>
      <c r="WPW167"/>
      <c r="WPX167"/>
      <c r="WPY167"/>
      <c r="WPZ167"/>
      <c r="WQA167"/>
      <c r="WQB167"/>
      <c r="WQC167"/>
      <c r="WQD167"/>
      <c r="WQE167"/>
      <c r="WQF167"/>
      <c r="WQG167"/>
      <c r="WQH167"/>
      <c r="WQI167"/>
      <c r="WQJ167"/>
      <c r="WQK167"/>
      <c r="WQL167"/>
      <c r="WQM167"/>
      <c r="WQN167"/>
      <c r="WQO167"/>
      <c r="WQP167"/>
      <c r="WQQ167"/>
      <c r="WQR167"/>
      <c r="WQS167"/>
      <c r="WQT167"/>
      <c r="WQU167"/>
      <c r="WQV167"/>
      <c r="WQW167"/>
      <c r="WQX167"/>
      <c r="WQY167"/>
      <c r="WQZ167"/>
      <c r="WRA167"/>
      <c r="WRB167"/>
      <c r="WRC167"/>
      <c r="WRD167"/>
      <c r="WRE167"/>
      <c r="WRF167"/>
      <c r="WRG167"/>
      <c r="WRH167"/>
      <c r="WRI167"/>
      <c r="WRJ167"/>
      <c r="WRK167"/>
      <c r="WRL167"/>
      <c r="WRM167"/>
      <c r="WRN167"/>
      <c r="WRO167"/>
      <c r="WRP167"/>
      <c r="WRQ167"/>
      <c r="WRR167"/>
      <c r="WRS167"/>
      <c r="WRT167"/>
      <c r="WRU167"/>
      <c r="WRV167"/>
      <c r="WRW167"/>
      <c r="WRX167"/>
      <c r="WRY167"/>
      <c r="WRZ167"/>
      <c r="WSA167"/>
      <c r="WSB167"/>
      <c r="WSC167"/>
      <c r="WSD167"/>
      <c r="WSE167"/>
      <c r="WSF167"/>
      <c r="WSG167"/>
      <c r="WSH167"/>
      <c r="WSI167"/>
      <c r="WSJ167"/>
      <c r="WSK167"/>
      <c r="WSL167"/>
      <c r="WSM167"/>
      <c r="WSN167"/>
      <c r="WSO167"/>
      <c r="WSP167"/>
      <c r="WSQ167"/>
      <c r="WSR167"/>
      <c r="WSS167"/>
      <c r="WST167"/>
      <c r="WSU167"/>
      <c r="WSV167"/>
      <c r="WSW167"/>
      <c r="WSX167"/>
      <c r="WSY167"/>
      <c r="WSZ167"/>
      <c r="WTA167"/>
      <c r="WTB167"/>
      <c r="WTC167"/>
      <c r="WTD167"/>
      <c r="WTE167"/>
      <c r="WTF167"/>
      <c r="WTG167"/>
      <c r="WTH167"/>
      <c r="WTI167"/>
      <c r="WTJ167"/>
      <c r="WTK167"/>
      <c r="WTL167"/>
      <c r="WTM167"/>
      <c r="WTN167"/>
      <c r="WTO167"/>
      <c r="WTP167"/>
      <c r="WTQ167"/>
      <c r="WTR167"/>
      <c r="WTS167"/>
      <c r="WTT167"/>
      <c r="WTU167"/>
      <c r="WTV167"/>
      <c r="WTW167"/>
      <c r="WTX167"/>
      <c r="WTY167"/>
      <c r="WTZ167"/>
      <c r="WUA167"/>
      <c r="WUB167"/>
      <c r="WUC167"/>
      <c r="WUD167"/>
      <c r="WUE167"/>
      <c r="WUF167"/>
      <c r="WUG167"/>
      <c r="WUH167"/>
      <c r="WUI167"/>
      <c r="WUJ167"/>
      <c r="WUK167"/>
      <c r="WUL167"/>
      <c r="WUM167"/>
      <c r="WUN167"/>
      <c r="WUO167"/>
      <c r="WUP167"/>
      <c r="WUQ167"/>
      <c r="WUR167"/>
      <c r="WUS167"/>
      <c r="WUT167"/>
      <c r="WUU167"/>
      <c r="WUV167"/>
      <c r="WUW167"/>
      <c r="WUX167"/>
      <c r="WUY167"/>
      <c r="WUZ167"/>
      <c r="WVA167"/>
      <c r="WVB167"/>
      <c r="WVC167"/>
      <c r="WVD167"/>
      <c r="WVE167"/>
      <c r="WVF167"/>
      <c r="WVG167"/>
      <c r="WVH167"/>
      <c r="WVI167"/>
      <c r="WVJ167"/>
      <c r="WVK167"/>
      <c r="WVL167"/>
      <c r="WVM167"/>
      <c r="WVN167"/>
      <c r="WVO167"/>
      <c r="WVP167"/>
      <c r="WVQ167"/>
      <c r="WVR167"/>
      <c r="WVS167"/>
      <c r="WVT167"/>
      <c r="WVU167"/>
      <c r="WVV167"/>
      <c r="WVW167"/>
      <c r="WVX167"/>
      <c r="WVY167"/>
      <c r="WVZ167"/>
      <c r="WWA167"/>
      <c r="WWB167"/>
      <c r="WWC167"/>
      <c r="WWD167"/>
      <c r="WWE167"/>
      <c r="WWF167"/>
      <c r="WWG167"/>
      <c r="WWH167"/>
      <c r="WWI167"/>
      <c r="WWJ167"/>
      <c r="WWK167"/>
      <c r="WWL167"/>
      <c r="WWM167"/>
      <c r="WWN167"/>
      <c r="WWO167"/>
      <c r="WWP167"/>
      <c r="WWQ167"/>
      <c r="WWR167"/>
      <c r="WWS167"/>
      <c r="WWT167"/>
      <c r="WWU167"/>
      <c r="WWV167"/>
      <c r="WWW167"/>
      <c r="WWX167"/>
      <c r="WWY167"/>
      <c r="WWZ167"/>
      <c r="WXA167"/>
      <c r="WXB167"/>
      <c r="WXC167"/>
      <c r="WXD167"/>
      <c r="WXE167"/>
      <c r="WXF167"/>
      <c r="WXG167"/>
      <c r="WXH167"/>
      <c r="WXI167"/>
      <c r="WXJ167"/>
      <c r="WXK167"/>
      <c r="WXL167"/>
      <c r="WXM167"/>
      <c r="WXN167"/>
      <c r="WXO167"/>
      <c r="WXP167"/>
      <c r="WXQ167"/>
      <c r="WXR167"/>
      <c r="WXS167"/>
      <c r="WXT167"/>
      <c r="WXU167"/>
      <c r="WXV167"/>
      <c r="WXW167"/>
      <c r="WXX167"/>
      <c r="WXY167"/>
      <c r="WXZ167"/>
      <c r="WYA167"/>
      <c r="WYB167"/>
      <c r="WYC167"/>
      <c r="WYD167"/>
      <c r="WYE167"/>
      <c r="WYF167"/>
      <c r="WYG167"/>
      <c r="WYH167"/>
      <c r="WYI167"/>
      <c r="WYJ167"/>
      <c r="WYK167"/>
      <c r="WYL167"/>
      <c r="WYM167"/>
      <c r="WYN167"/>
      <c r="WYO167"/>
      <c r="WYP167"/>
      <c r="WYQ167"/>
      <c r="WYR167"/>
      <c r="WYS167"/>
      <c r="WYT167"/>
      <c r="WYU167"/>
      <c r="WYV167"/>
      <c r="WYW167"/>
      <c r="WYX167"/>
      <c r="WYY167"/>
      <c r="WYZ167"/>
      <c r="WZA167"/>
      <c r="WZB167"/>
      <c r="WZC167"/>
      <c r="WZD167"/>
      <c r="WZE167"/>
      <c r="WZF167"/>
      <c r="WZG167"/>
      <c r="WZH167"/>
      <c r="WZI167"/>
      <c r="WZJ167"/>
      <c r="WZK167"/>
      <c r="WZL167"/>
      <c r="WZM167"/>
      <c r="WZN167"/>
      <c r="WZO167"/>
      <c r="WZP167"/>
      <c r="WZQ167"/>
      <c r="WZR167"/>
      <c r="WZS167"/>
      <c r="WZT167"/>
      <c r="WZU167"/>
      <c r="WZV167"/>
      <c r="WZW167"/>
      <c r="WZX167"/>
      <c r="WZY167"/>
      <c r="WZZ167"/>
      <c r="XAA167"/>
      <c r="XAB167"/>
      <c r="XAC167"/>
      <c r="XAD167"/>
      <c r="XAE167"/>
      <c r="XAF167"/>
      <c r="XAG167"/>
      <c r="XAH167"/>
      <c r="XAI167"/>
      <c r="XAJ167"/>
      <c r="XAK167"/>
      <c r="XAL167"/>
      <c r="XAM167"/>
      <c r="XAN167"/>
      <c r="XAO167"/>
      <c r="XAP167"/>
      <c r="XAQ167"/>
      <c r="XAR167"/>
      <c r="XAS167"/>
      <c r="XAT167"/>
      <c r="XAU167"/>
      <c r="XAV167"/>
      <c r="XAW167"/>
      <c r="XAX167"/>
      <c r="XAY167"/>
      <c r="XAZ167"/>
      <c r="XBA167"/>
      <c r="XBB167"/>
      <c r="XBC167"/>
      <c r="XBD167"/>
      <c r="XBE167"/>
      <c r="XBF167"/>
      <c r="XBG167"/>
      <c r="XBH167"/>
      <c r="XBI167"/>
      <c r="XBJ167"/>
      <c r="XBK167"/>
      <c r="XBL167"/>
      <c r="XBM167"/>
      <c r="XBN167"/>
      <c r="XBO167"/>
      <c r="XBP167"/>
      <c r="XBQ167"/>
      <c r="XBR167"/>
      <c r="XBS167"/>
      <c r="XBT167"/>
      <c r="XBU167"/>
      <c r="XBV167"/>
      <c r="XBW167"/>
      <c r="XBX167"/>
      <c r="XBY167"/>
      <c r="XBZ167"/>
      <c r="XCA167"/>
      <c r="XCB167"/>
      <c r="XCC167"/>
      <c r="XCD167"/>
      <c r="XCE167"/>
      <c r="XCF167"/>
      <c r="XCG167"/>
      <c r="XCH167"/>
      <c r="XCI167"/>
      <c r="XCJ167"/>
      <c r="XCK167"/>
      <c r="XCL167"/>
      <c r="XCM167"/>
      <c r="XCN167"/>
      <c r="XCO167"/>
      <c r="XCP167"/>
      <c r="XCQ167"/>
      <c r="XCR167"/>
      <c r="XCS167"/>
      <c r="XCT167"/>
      <c r="XCU167"/>
      <c r="XCV167"/>
      <c r="XCW167"/>
      <c r="XCX167"/>
      <c r="XCY167"/>
      <c r="XCZ167"/>
      <c r="XDA167"/>
      <c r="XDB167"/>
      <c r="XDC167"/>
      <c r="XDD167"/>
      <c r="XDE167"/>
      <c r="XDF167"/>
      <c r="XDG167"/>
      <c r="XDH167"/>
      <c r="XDI167"/>
      <c r="XDJ167"/>
      <c r="XDK167"/>
      <c r="XDL167"/>
      <c r="XDM167"/>
      <c r="XDN167"/>
      <c r="XDO167"/>
      <c r="XDP167"/>
      <c r="XDQ167"/>
      <c r="XDR167"/>
      <c r="XDS167"/>
      <c r="XDT167"/>
      <c r="XDU167"/>
      <c r="XDV167"/>
      <c r="XDW167"/>
      <c r="XDX167"/>
      <c r="XDY167"/>
      <c r="XDZ167"/>
      <c r="XEA167"/>
      <c r="XEB167"/>
      <c r="XEC167"/>
      <c r="XED167"/>
      <c r="XEE167"/>
      <c r="XEF167"/>
      <c r="XEG167"/>
      <c r="XEH167"/>
      <c r="XEI167"/>
      <c r="XEJ167"/>
      <c r="XEK167"/>
      <c r="XEL167"/>
      <c r="XEM167"/>
      <c r="XEN167"/>
      <c r="XEO167"/>
      <c r="XEP167"/>
      <c r="XEQ167"/>
      <c r="XER167"/>
      <c r="XES167"/>
      <c r="XET167"/>
      <c r="XEU167"/>
      <c r="XEV167"/>
      <c r="XEW167"/>
      <c r="XEX167"/>
      <c r="XEY167"/>
      <c r="XEZ167"/>
      <c r="XFA167"/>
      <c r="XFB167"/>
      <c r="XFC167"/>
      <c r="XFD167"/>
    </row>
    <row r="168" spans="1:16384" ht="15" customHeight="1">
      <c r="A168" s="69" t="s">
        <v>17</v>
      </c>
      <c r="B168" s="65">
        <v>5034.0709999999999</v>
      </c>
      <c r="C168" s="70">
        <v>4797</v>
      </c>
      <c r="D168" s="70">
        <v>4530</v>
      </c>
      <c r="E168" s="70">
        <v>4483</v>
      </c>
      <c r="F168" s="70">
        <v>4356</v>
      </c>
      <c r="G168" s="65">
        <v>4356</v>
      </c>
      <c r="H168" s="70">
        <v>4531</v>
      </c>
      <c r="I168" s="70">
        <v>4168</v>
      </c>
      <c r="J168" s="70">
        <v>4166</v>
      </c>
      <c r="K168" s="70">
        <v>4136</v>
      </c>
      <c r="L168" s="65">
        <v>4136</v>
      </c>
      <c r="M168" s="70">
        <v>3880</v>
      </c>
      <c r="N168" s="70">
        <v>5229</v>
      </c>
      <c r="O168" s="70">
        <v>5727</v>
      </c>
      <c r="P168" s="70">
        <v>5717</v>
      </c>
      <c r="Q168" s="65">
        <v>5717</v>
      </c>
      <c r="R168" s="70">
        <v>5638</v>
      </c>
      <c r="S168" s="70">
        <v>6984</v>
      </c>
      <c r="T168" s="70">
        <v>9614</v>
      </c>
      <c r="U168" s="70">
        <v>9578</v>
      </c>
      <c r="V168" s="65">
        <v>9578</v>
      </c>
      <c r="W168" s="70">
        <v>9416</v>
      </c>
      <c r="X168" s="70">
        <v>9125</v>
      </c>
      <c r="Y168" s="70">
        <v>8939</v>
      </c>
      <c r="Z168" s="70">
        <v>9546</v>
      </c>
      <c r="AA168" s="65">
        <v>9546</v>
      </c>
      <c r="AB168" s="70">
        <v>9388</v>
      </c>
      <c r="AC168" s="70">
        <v>9939</v>
      </c>
      <c r="AD168" s="70">
        <v>9838</v>
      </c>
      <c r="AE168" s="70">
        <v>9827</v>
      </c>
      <c r="AF168" s="65">
        <v>9827</v>
      </c>
      <c r="AG168" s="70">
        <v>9717</v>
      </c>
      <c r="AH168" s="70">
        <v>9349</v>
      </c>
      <c r="AI168" s="70">
        <v>10363</v>
      </c>
      <c r="AJ168" s="70">
        <v>10087</v>
      </c>
      <c r="AK168" s="65">
        <v>10087</v>
      </c>
      <c r="AL168" s="70">
        <v>11912</v>
      </c>
      <c r="AM168" s="70">
        <v>11368</v>
      </c>
      <c r="AN168" s="70">
        <v>11077</v>
      </c>
      <c r="AO168" s="70">
        <v>10713</v>
      </c>
      <c r="AP168" s="65">
        <v>10713</v>
      </c>
      <c r="AQ168" s="70">
        <v>10605</v>
      </c>
      <c r="AR168" s="70">
        <v>11504</v>
      </c>
      <c r="AS168" s="70">
        <v>11246</v>
      </c>
      <c r="AT168" s="70">
        <v>10953</v>
      </c>
      <c r="AU168" s="65">
        <v>10953</v>
      </c>
      <c r="AV168" s="70">
        <v>10703</v>
      </c>
      <c r="AW168" s="70">
        <v>11519</v>
      </c>
      <c r="AX168" s="70">
        <v>11533</v>
      </c>
      <c r="AY168" s="70">
        <v>11861</v>
      </c>
      <c r="AZ168" s="65">
        <v>11861</v>
      </c>
      <c r="BA168" s="70">
        <v>12156</v>
      </c>
      <c r="BB168" s="70">
        <v>12000</v>
      </c>
      <c r="BC168" s="70">
        <v>11947</v>
      </c>
      <c r="BD168" s="70">
        <v>11179</v>
      </c>
      <c r="BE168" s="65">
        <v>11179</v>
      </c>
    </row>
    <row r="169" spans="1:16384" ht="15" customHeight="1">
      <c r="A169" s="69" t="s">
        <v>14</v>
      </c>
      <c r="B169" s="65">
        <v>3445.0709999999999</v>
      </c>
      <c r="C169" s="70">
        <v>3200</v>
      </c>
      <c r="D169" s="70">
        <v>3727</v>
      </c>
      <c r="E169" s="70">
        <v>3227</v>
      </c>
      <c r="F169" s="70">
        <v>3540</v>
      </c>
      <c r="G169" s="65">
        <v>3540</v>
      </c>
      <c r="H169" s="70">
        <v>2795</v>
      </c>
      <c r="I169" s="70">
        <v>3286</v>
      </c>
      <c r="J169" s="70">
        <v>2707</v>
      </c>
      <c r="K169" s="70">
        <v>3402</v>
      </c>
      <c r="L169" s="65">
        <v>3402</v>
      </c>
      <c r="M169" s="70">
        <v>2924</v>
      </c>
      <c r="N169" s="70">
        <v>4987</v>
      </c>
      <c r="O169" s="70">
        <v>4315</v>
      </c>
      <c r="P169" s="70">
        <v>5345</v>
      </c>
      <c r="Q169" s="65">
        <v>5345</v>
      </c>
      <c r="R169" s="70">
        <v>4937</v>
      </c>
      <c r="S169" s="70">
        <v>6497</v>
      </c>
      <c r="T169" s="70">
        <v>5994</v>
      </c>
      <c r="U169" s="70">
        <v>7280</v>
      </c>
      <c r="V169" s="65">
        <v>7280</v>
      </c>
      <c r="W169" s="70">
        <v>6646</v>
      </c>
      <c r="X169" s="70">
        <v>7896</v>
      </c>
      <c r="Y169" s="70">
        <v>7192</v>
      </c>
      <c r="Z169" s="70">
        <v>7999</v>
      </c>
      <c r="AA169" s="65">
        <v>7999</v>
      </c>
      <c r="AB169" s="70">
        <v>7303</v>
      </c>
      <c r="AC169" s="70">
        <v>7932</v>
      </c>
      <c r="AD169" s="70">
        <v>8582</v>
      </c>
      <c r="AE169" s="70">
        <v>8085</v>
      </c>
      <c r="AF169" s="65">
        <v>8085</v>
      </c>
      <c r="AG169" s="70">
        <v>7323</v>
      </c>
      <c r="AH169" s="70">
        <v>6951</v>
      </c>
      <c r="AI169" s="70">
        <v>6269</v>
      </c>
      <c r="AJ169" s="70">
        <v>7204</v>
      </c>
      <c r="AK169" s="65">
        <v>7204</v>
      </c>
      <c r="AL169" s="70">
        <v>8203</v>
      </c>
      <c r="AM169" s="70">
        <v>9543</v>
      </c>
      <c r="AN169" s="70">
        <v>8921</v>
      </c>
      <c r="AO169" s="70">
        <v>9396</v>
      </c>
      <c r="AP169" s="65">
        <v>9396</v>
      </c>
      <c r="AQ169" s="70">
        <v>8828</v>
      </c>
      <c r="AR169" s="70">
        <v>9254</v>
      </c>
      <c r="AS169" s="70">
        <v>9400</v>
      </c>
      <c r="AT169" s="70">
        <v>9719</v>
      </c>
      <c r="AU169" s="65">
        <v>9719</v>
      </c>
      <c r="AV169" s="70">
        <v>9333</v>
      </c>
      <c r="AW169" s="70">
        <v>9646</v>
      </c>
      <c r="AX169" s="70">
        <v>8968</v>
      </c>
      <c r="AY169" s="70">
        <v>9391</v>
      </c>
      <c r="AZ169" s="65">
        <v>9391</v>
      </c>
      <c r="BA169" s="70">
        <v>8940</v>
      </c>
      <c r="BB169" s="70">
        <v>9401</v>
      </c>
      <c r="BC169" s="70">
        <v>9022</v>
      </c>
      <c r="BD169" s="70">
        <v>8885</v>
      </c>
      <c r="BE169" s="65">
        <v>8885</v>
      </c>
    </row>
    <row r="170" spans="1:16384" ht="15" customHeight="1">
      <c r="A170" s="79" t="s">
        <v>280</v>
      </c>
      <c r="B170" s="216">
        <f>B169/B42</f>
        <v>0.89042930989919877</v>
      </c>
      <c r="C170" s="217"/>
      <c r="D170" s="217"/>
      <c r="E170" s="217"/>
      <c r="F170" s="218"/>
      <c r="G170" s="216">
        <f>G169/G42</f>
        <v>0.84406294706723894</v>
      </c>
      <c r="H170" s="217"/>
      <c r="I170" s="217"/>
      <c r="J170" s="217"/>
      <c r="K170" s="218"/>
      <c r="L170" s="216">
        <f>L169/L42</f>
        <v>0.73035637612709314</v>
      </c>
      <c r="M170" s="217"/>
      <c r="N170" s="217"/>
      <c r="O170" s="217"/>
      <c r="P170" s="218"/>
      <c r="Q170" s="216">
        <f>Q169/Q36</f>
        <v>1.0372598486318649</v>
      </c>
      <c r="R170" s="217"/>
      <c r="S170" s="217"/>
      <c r="T170" s="217"/>
      <c r="U170" s="218"/>
      <c r="V170" s="216">
        <f>V169/V42</f>
        <v>1.5201503445395699</v>
      </c>
      <c r="W170" s="217"/>
      <c r="X170" s="217"/>
      <c r="Y170" s="217"/>
      <c r="Z170" s="218"/>
      <c r="AA170" s="216">
        <f>AA169/AA42</f>
        <v>1.7922921801478826</v>
      </c>
      <c r="AB170" s="217"/>
      <c r="AC170" s="217"/>
      <c r="AD170" s="217"/>
      <c r="AE170" s="218"/>
      <c r="AF170" s="216">
        <v>1.9647630619684082</v>
      </c>
      <c r="AG170" s="217">
        <v>1.7895894428152492</v>
      </c>
      <c r="AH170" s="217">
        <v>1.7269565217391305</v>
      </c>
      <c r="AI170" s="217">
        <v>1.5854830551340415</v>
      </c>
      <c r="AJ170" s="218">
        <v>1.8372864065289467</v>
      </c>
      <c r="AK170" s="216">
        <v>1.8372864065289467</v>
      </c>
      <c r="AL170" s="217">
        <v>2.1234791612736217</v>
      </c>
      <c r="AM170" s="217">
        <v>2.3965344048216974</v>
      </c>
      <c r="AN170" s="217">
        <v>2.1732034104750304</v>
      </c>
      <c r="AO170" s="218">
        <v>2.2591969223371002</v>
      </c>
      <c r="AP170" s="216">
        <v>2.2591969223371002</v>
      </c>
      <c r="AQ170" s="217">
        <v>2.0766878381557281</v>
      </c>
      <c r="AR170" s="217">
        <v>2.2080649009782869</v>
      </c>
      <c r="AS170" s="217">
        <v>2.2871046228710461</v>
      </c>
      <c r="AT170" s="218">
        <v>2.3938423645320195</v>
      </c>
      <c r="AU170" s="216">
        <v>2.3938423645320195</v>
      </c>
      <c r="AV170" s="217">
        <v>2.3204873197414222</v>
      </c>
      <c r="AW170" s="217">
        <v>2.4272773024660292</v>
      </c>
      <c r="AX170" s="217">
        <v>2.2900919305413687</v>
      </c>
      <c r="AY170" s="217">
        <v>2.412278448497303</v>
      </c>
      <c r="AZ170" s="216">
        <v>2.412278448497303</v>
      </c>
      <c r="BA170" s="217">
        <v>2.3458409866176857</v>
      </c>
      <c r="BB170" s="217">
        <v>2.5373819163292848</v>
      </c>
      <c r="BC170" s="217">
        <v>2.4819807427785419</v>
      </c>
      <c r="BD170" s="217">
        <v>2.5113058224985867</v>
      </c>
      <c r="BE170" s="216">
        <v>2.5113058224985867</v>
      </c>
    </row>
    <row r="172" spans="1:16384" ht="3" customHeight="1">
      <c r="A172" s="44"/>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45"/>
      <c r="AI172" s="45"/>
      <c r="AJ172" s="45"/>
      <c r="AK172" s="45"/>
      <c r="AL172" s="45"/>
      <c r="AM172" s="45"/>
      <c r="AN172" s="45"/>
      <c r="AO172" s="45"/>
      <c r="AP172" s="45"/>
      <c r="AQ172" s="45"/>
      <c r="AR172" s="45"/>
      <c r="AS172" s="45"/>
      <c r="AT172" s="45"/>
      <c r="AU172" s="45"/>
      <c r="AV172" s="45"/>
      <c r="AW172" s="45"/>
      <c r="AX172" s="45"/>
      <c r="AY172" s="45"/>
      <c r="AZ172" s="45"/>
      <c r="BA172" s="45"/>
      <c r="BB172" s="45"/>
      <c r="BC172" s="45"/>
      <c r="BD172" s="45"/>
      <c r="BE172" s="45"/>
    </row>
    <row r="173" spans="1:16384" ht="3" customHeight="1">
      <c r="A173" s="44"/>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row>
    <row r="174" spans="1:16384" ht="19.2" customHeight="1">
      <c r="A174" s="35" t="s">
        <v>55</v>
      </c>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7"/>
      <c r="AQ174" s="27"/>
      <c r="AR174" s="27"/>
      <c r="AS174" s="27"/>
      <c r="AT174" s="27"/>
      <c r="AU174" s="27"/>
      <c r="AV174" s="27"/>
      <c r="AW174" s="27"/>
      <c r="AX174" s="27"/>
      <c r="AY174" s="27"/>
      <c r="AZ174" s="27"/>
      <c r="BA174" s="27"/>
      <c r="BB174" s="27"/>
      <c r="BC174" s="27"/>
      <c r="BD174" s="27"/>
      <c r="BE174" s="27"/>
    </row>
    <row r="175" spans="1:16384" ht="10.5" customHeight="1">
      <c r="A175" s="40" t="s">
        <v>82</v>
      </c>
      <c r="B175" s="41"/>
      <c r="C175" s="49"/>
      <c r="D175" s="49"/>
      <c r="E175" s="49"/>
      <c r="F175" s="49"/>
      <c r="G175" s="41"/>
      <c r="H175" s="49"/>
      <c r="I175" s="49"/>
      <c r="J175" s="49"/>
      <c r="K175" s="49"/>
      <c r="L175" s="41"/>
      <c r="M175" s="49"/>
      <c r="N175" s="49"/>
      <c r="O175" s="49"/>
      <c r="P175" s="49"/>
      <c r="Q175" s="41"/>
      <c r="R175" s="49"/>
      <c r="S175" s="49"/>
      <c r="T175" s="49"/>
      <c r="U175" s="49"/>
      <c r="V175" s="41"/>
      <c r="W175" s="49"/>
      <c r="X175" s="49"/>
      <c r="Y175" s="49"/>
      <c r="Z175" s="49"/>
      <c r="AA175" s="41"/>
      <c r="AB175" s="49"/>
      <c r="AC175" s="49"/>
      <c r="AD175" s="49"/>
      <c r="AE175" s="49"/>
      <c r="AF175" s="41"/>
      <c r="AG175" s="49"/>
      <c r="AH175" s="49"/>
      <c r="AI175" s="49"/>
      <c r="AJ175" s="49"/>
      <c r="AK175" s="41"/>
      <c r="AL175" s="49"/>
      <c r="AM175" s="49"/>
      <c r="AN175" s="49"/>
      <c r="AO175" s="49"/>
      <c r="AP175" s="41"/>
      <c r="AQ175" s="49"/>
      <c r="AR175" s="49"/>
      <c r="AS175" s="49"/>
      <c r="AT175" s="49"/>
      <c r="AU175" s="41"/>
      <c r="AV175" s="49"/>
      <c r="AW175" s="49"/>
      <c r="AX175" s="49"/>
      <c r="AY175" s="49"/>
      <c r="AZ175" s="41"/>
      <c r="BA175" s="49"/>
      <c r="BB175" s="49"/>
      <c r="BC175" s="49"/>
      <c r="BD175" s="49"/>
      <c r="BE175" s="41"/>
    </row>
    <row r="176" spans="1:16384">
      <c r="A176" s="69" t="s">
        <v>62</v>
      </c>
      <c r="B176" s="37">
        <f>SUM(B182:B191)</f>
        <v>5001</v>
      </c>
      <c r="C176" s="70">
        <v>1408</v>
      </c>
      <c r="D176" s="70">
        <v>1354</v>
      </c>
      <c r="E176" s="70">
        <v>1388</v>
      </c>
      <c r="F176" s="70">
        <f>G176-E176-D176-C176</f>
        <v>557.99032152888321</v>
      </c>
      <c r="G176" s="37">
        <f>SUM(G182:G191)</f>
        <v>4707.9903215288832</v>
      </c>
      <c r="H176" s="70">
        <f>H191+H185+H179+H182</f>
        <v>1326</v>
      </c>
      <c r="I176" s="70">
        <f>I191+I185+I179+I182</f>
        <v>1318</v>
      </c>
      <c r="J176" s="70">
        <f>J191+J185+J179+J182</f>
        <v>1343</v>
      </c>
      <c r="K176" s="70">
        <f>L176-J176-I176-H176</f>
        <v>1316</v>
      </c>
      <c r="L176" s="37">
        <f>L191+L185+L179+L182</f>
        <v>5303</v>
      </c>
      <c r="M176" s="70">
        <f>M191+M185+M179+M182</f>
        <v>1304</v>
      </c>
      <c r="N176" s="70">
        <f>N191+N185+N179+N182</f>
        <v>1307</v>
      </c>
      <c r="O176" s="70">
        <f>O191+O185+O179+O182</f>
        <v>1323</v>
      </c>
      <c r="P176" s="70">
        <f>Q176-O176-N176-M176</f>
        <v>1329</v>
      </c>
      <c r="Q176" s="37">
        <v>5263</v>
      </c>
      <c r="R176" s="70">
        <f>R191+R185+R179+R182</f>
        <v>1178</v>
      </c>
      <c r="S176" s="70">
        <v>1170</v>
      </c>
      <c r="T176" s="70">
        <f>T182+T179+T185+T191</f>
        <v>1186</v>
      </c>
      <c r="U176" s="70">
        <f>V176-T176-S176-R176</f>
        <v>1114</v>
      </c>
      <c r="V176" s="37">
        <f>V182+V179+V185+V191</f>
        <v>4648</v>
      </c>
      <c r="W176" s="70">
        <f>W182+W179+W185+W191</f>
        <v>1199</v>
      </c>
      <c r="X176" s="70">
        <f>X182+X179+X185+X191</f>
        <v>1161</v>
      </c>
      <c r="Y176" s="70">
        <f>Y182+Y179+Y185+Y191</f>
        <v>1149</v>
      </c>
      <c r="Z176" s="70">
        <f>AA176-Y176-X176-W176</f>
        <v>1121</v>
      </c>
      <c r="AA176" s="37">
        <f>AA182+AA179+AA185+AA191</f>
        <v>4630</v>
      </c>
      <c r="AB176" s="70">
        <f>AB182+AB179+AB185+AB191</f>
        <v>1129</v>
      </c>
      <c r="AC176" s="70">
        <f>AC182+AC179+AC185+AC191</f>
        <v>1121</v>
      </c>
      <c r="AD176" s="70">
        <f>AD182+AD179+AD185+AD191</f>
        <v>1127</v>
      </c>
      <c r="AE176" s="70">
        <f>AF176-AD176-AC176-AB176</f>
        <v>1101</v>
      </c>
      <c r="AF176" s="37">
        <v>4478</v>
      </c>
      <c r="AG176" s="70">
        <v>1077</v>
      </c>
      <c r="AH176" s="70">
        <v>1073</v>
      </c>
      <c r="AI176" s="70">
        <v>1081</v>
      </c>
      <c r="AJ176" s="70">
        <v>1086</v>
      </c>
      <c r="AK176" s="37">
        <v>4317</v>
      </c>
      <c r="AL176" s="70">
        <v>1113</v>
      </c>
      <c r="AM176" s="70">
        <v>1105</v>
      </c>
      <c r="AN176" s="70">
        <v>1101</v>
      </c>
      <c r="AO176" s="70">
        <v>1088</v>
      </c>
      <c r="AP176" s="37">
        <v>4407</v>
      </c>
      <c r="AQ176" s="70">
        <v>1112</v>
      </c>
      <c r="AR176" s="70">
        <v>1100</v>
      </c>
      <c r="AS176" s="70">
        <v>1089</v>
      </c>
      <c r="AT176" s="70">
        <v>1082</v>
      </c>
      <c r="AU176" s="37">
        <v>4383</v>
      </c>
      <c r="AV176" s="70">
        <v>1078</v>
      </c>
      <c r="AW176" s="70">
        <v>1058</v>
      </c>
      <c r="AX176" s="70">
        <v>1061</v>
      </c>
      <c r="AY176" s="70">
        <v>1047</v>
      </c>
      <c r="AZ176" s="37">
        <v>4244</v>
      </c>
      <c r="BA176" s="70">
        <v>1063</v>
      </c>
      <c r="BB176" s="70">
        <v>1064</v>
      </c>
      <c r="BC176" s="70">
        <v>1043</v>
      </c>
      <c r="BD176" s="70">
        <v>1026</v>
      </c>
      <c r="BE176" s="37">
        <v>4196</v>
      </c>
    </row>
    <row r="177" spans="1:57">
      <c r="A177" s="71" t="s">
        <v>7</v>
      </c>
      <c r="B177" s="24"/>
      <c r="C177" s="72"/>
      <c r="D177" s="72">
        <f>D176/C176-1</f>
        <v>-3.8352272727272707E-2</v>
      </c>
      <c r="E177" s="72">
        <f>E176/D176-1</f>
        <v>2.5110782865583436E-2</v>
      </c>
      <c r="F177" s="72">
        <f>F176/E176-1</f>
        <v>-0.5979896818956173</v>
      </c>
      <c r="G177" s="24"/>
      <c r="H177" s="72">
        <f>H176/F176-1</f>
        <v>1.3763853042590135</v>
      </c>
      <c r="I177" s="72">
        <f>I176/H176-1</f>
        <v>-6.0331825037707176E-3</v>
      </c>
      <c r="J177" s="72">
        <f>J176/I176-1</f>
        <v>1.8968133535660181E-2</v>
      </c>
      <c r="K177" s="72">
        <f>K176/J176-1</f>
        <v>-2.010424422933732E-2</v>
      </c>
      <c r="L177" s="24"/>
      <c r="M177" s="72">
        <f>M176/K176-1</f>
        <v>-9.1185410334346795E-3</v>
      </c>
      <c r="N177" s="72">
        <f>N176/M176-1</f>
        <v>2.3006134969325576E-3</v>
      </c>
      <c r="O177" s="72">
        <f>O176/N176-1</f>
        <v>1.2241775057383331E-2</v>
      </c>
      <c r="P177" s="72">
        <f>P176/O176-1</f>
        <v>4.5351473922903285E-3</v>
      </c>
      <c r="Q177" s="24"/>
      <c r="R177" s="72">
        <f>R176/P176-1</f>
        <v>-0.11361926260346122</v>
      </c>
      <c r="S177" s="72">
        <f>S176/R176-1</f>
        <v>-6.7911714770797493E-3</v>
      </c>
      <c r="T177" s="72">
        <f>T176/S176-1</f>
        <v>1.3675213675213627E-2</v>
      </c>
      <c r="U177" s="72">
        <f>U176/T176-1</f>
        <v>-6.0708263069140012E-2</v>
      </c>
      <c r="V177" s="24"/>
      <c r="W177" s="72">
        <f>W176/U176-1</f>
        <v>7.6301615798922695E-2</v>
      </c>
      <c r="X177" s="72">
        <f>X176/W176-1</f>
        <v>-3.169307756463724E-2</v>
      </c>
      <c r="Y177" s="72">
        <f>Y176/X176-1</f>
        <v>-1.033591731266148E-2</v>
      </c>
      <c r="Z177" s="72">
        <f>Z176/Y176-1</f>
        <v>-2.4369016536118338E-2</v>
      </c>
      <c r="AA177" s="24"/>
      <c r="AB177" s="72">
        <f>AB176/Z176-1</f>
        <v>7.1364852809991941E-3</v>
      </c>
      <c r="AC177" s="72">
        <f>AC176/AB176-1</f>
        <v>-7.0859167404783152E-3</v>
      </c>
      <c r="AD177" s="72">
        <f>AD176/AC176-1</f>
        <v>5.3523639607493401E-3</v>
      </c>
      <c r="AE177" s="72">
        <f>AE176/AD176-1</f>
        <v>-2.3070097604259043E-2</v>
      </c>
      <c r="AF177" s="24"/>
      <c r="AG177" s="72">
        <v>-2.1798365122615793E-2</v>
      </c>
      <c r="AH177" s="72">
        <v>-3.71402042711233E-3</v>
      </c>
      <c r="AI177" s="72">
        <v>7.455731593662529E-3</v>
      </c>
      <c r="AJ177" s="72">
        <v>4.6253469010175685E-3</v>
      </c>
      <c r="AK177" s="24"/>
      <c r="AL177" s="72">
        <v>2.4861878453038777E-2</v>
      </c>
      <c r="AM177" s="72">
        <v>-7.1877807726864473E-3</v>
      </c>
      <c r="AN177" s="72">
        <v>-3.6199095022624306E-3</v>
      </c>
      <c r="AO177" s="72">
        <v>-1.1807447774750179E-2</v>
      </c>
      <c r="AP177" s="24"/>
      <c r="AQ177" s="72">
        <v>2.2058823529411686E-2</v>
      </c>
      <c r="AR177" s="72">
        <v>-1.0791366906474864E-2</v>
      </c>
      <c r="AS177" s="72">
        <v>-1.0000000000000009E-2</v>
      </c>
      <c r="AT177" s="72">
        <v>-6.4279155188246007E-3</v>
      </c>
      <c r="AU177" s="24"/>
      <c r="AV177" s="72">
        <v>-3.6968576709797141E-3</v>
      </c>
      <c r="AW177" s="72">
        <v>-1.8552875695732829E-2</v>
      </c>
      <c r="AX177" s="72">
        <v>2.835538752362865E-3</v>
      </c>
      <c r="AY177" s="72">
        <v>-1.3195098963242224E-2</v>
      </c>
      <c r="AZ177" s="24"/>
      <c r="BA177" s="72">
        <v>1.5281757402101137E-2</v>
      </c>
      <c r="BB177" s="72">
        <v>9.4073377234238365E-4</v>
      </c>
      <c r="BC177" s="72">
        <v>-1.9736842105263164E-2</v>
      </c>
      <c r="BD177" s="72">
        <v>-1.6299137104506256E-2</v>
      </c>
      <c r="BE177" s="24"/>
    </row>
    <row r="178" spans="1:57" ht="11.25" customHeight="1">
      <c r="A178" s="71" t="s">
        <v>8</v>
      </c>
      <c r="B178" s="24"/>
      <c r="C178" s="73"/>
      <c r="D178" s="73"/>
      <c r="E178" s="73"/>
      <c r="F178" s="73"/>
      <c r="G178" s="24">
        <f t="shared" ref="G178:R178" si="121">G176/B176-1</f>
        <v>-5.8590217650693166E-2</v>
      </c>
      <c r="H178" s="73">
        <f t="shared" si="121"/>
        <v>-5.8238636363636354E-2</v>
      </c>
      <c r="I178" s="73">
        <f t="shared" si="121"/>
        <v>-2.6587887740029514E-2</v>
      </c>
      <c r="J178" s="73">
        <f t="shared" si="121"/>
        <v>-3.2420749279538863E-2</v>
      </c>
      <c r="K178" s="73">
        <f t="shared" si="121"/>
        <v>1.3584638464591721</v>
      </c>
      <c r="L178" s="24">
        <f t="shared" si="121"/>
        <v>0.12638294427884289</v>
      </c>
      <c r="M178" s="73">
        <f t="shared" si="121"/>
        <v>-1.6591251885369585E-2</v>
      </c>
      <c r="N178" s="73">
        <f t="shared" si="121"/>
        <v>-8.3459787556904308E-3</v>
      </c>
      <c r="O178" s="73">
        <f t="shared" si="121"/>
        <v>-1.4892032762472085E-2</v>
      </c>
      <c r="P178" s="73">
        <f t="shared" si="121"/>
        <v>9.8784194528875879E-3</v>
      </c>
      <c r="Q178" s="24">
        <f t="shared" si="121"/>
        <v>-7.5429002451442573E-3</v>
      </c>
      <c r="R178" s="73">
        <f t="shared" si="121"/>
        <v>-9.6625766871165641E-2</v>
      </c>
      <c r="S178" s="73">
        <f t="shared" ref="S178:Y178" si="122">S176/N176-1</f>
        <v>-0.10482019892884464</v>
      </c>
      <c r="T178" s="73">
        <f t="shared" si="122"/>
        <v>-0.10355253212396065</v>
      </c>
      <c r="U178" s="73">
        <f t="shared" si="122"/>
        <v>-0.16177577125658393</v>
      </c>
      <c r="V178" s="24">
        <f t="shared" si="122"/>
        <v>-0.11685350560516816</v>
      </c>
      <c r="W178" s="73">
        <f t="shared" si="122"/>
        <v>1.7826825127334356E-2</v>
      </c>
      <c r="X178" s="73">
        <f t="shared" si="122"/>
        <v>-7.692307692307665E-3</v>
      </c>
      <c r="Y178" s="73">
        <f t="shared" si="122"/>
        <v>-3.1197301854974713E-2</v>
      </c>
      <c r="Z178" s="73">
        <f t="shared" ref="Z178:AE178" si="123">Z176/U176-1</f>
        <v>6.2836624775584049E-3</v>
      </c>
      <c r="AA178" s="24">
        <f t="shared" si="123"/>
        <v>-3.8726333907056487E-3</v>
      </c>
      <c r="AB178" s="73">
        <f t="shared" si="123"/>
        <v>-5.8381984987489588E-2</v>
      </c>
      <c r="AC178" s="73">
        <f t="shared" si="123"/>
        <v>-3.4453057708871637E-2</v>
      </c>
      <c r="AD178" s="73">
        <f t="shared" si="123"/>
        <v>-1.9147084421235805E-2</v>
      </c>
      <c r="AE178" s="73">
        <f t="shared" si="123"/>
        <v>-1.7841213202497763E-2</v>
      </c>
      <c r="AF178" s="24">
        <v>-3.2829373650107962E-2</v>
      </c>
      <c r="AG178" s="73">
        <v>-4.6058458813108993E-2</v>
      </c>
      <c r="AH178" s="73">
        <v>-4.281891168599461E-2</v>
      </c>
      <c r="AI178" s="73">
        <v>-4.081632653061229E-2</v>
      </c>
      <c r="AJ178" s="73">
        <v>-1.3623978201634857E-2</v>
      </c>
      <c r="AK178" s="24">
        <v>-3.5953550692273351E-2</v>
      </c>
      <c r="AL178" s="73">
        <v>3.3426183844011081E-2</v>
      </c>
      <c r="AM178" s="73">
        <v>2.982292637465056E-2</v>
      </c>
      <c r="AN178" s="73">
        <v>1.8501387604070274E-2</v>
      </c>
      <c r="AO178" s="73">
        <v>1.8416206261511192E-3</v>
      </c>
      <c r="AP178" s="24">
        <v>2.0847810979847115E-2</v>
      </c>
      <c r="AQ178" s="73">
        <v>-8.9847259658581979E-4</v>
      </c>
      <c r="AR178" s="73">
        <v>-4.5248868778280382E-3</v>
      </c>
      <c r="AS178" s="73">
        <v>-1.0899182561307952E-2</v>
      </c>
      <c r="AT178" s="73">
        <v>-5.5147058823529216E-3</v>
      </c>
      <c r="AU178" s="24">
        <v>-5.4458815520762593E-3</v>
      </c>
      <c r="AV178" s="73">
        <v>-3.0575539568345356E-2</v>
      </c>
      <c r="AW178" s="73">
        <v>-3.8181818181818206E-2</v>
      </c>
      <c r="AX178" s="73">
        <v>-2.5711662075298403E-2</v>
      </c>
      <c r="AY178" s="73">
        <v>-3.2347504621072054E-2</v>
      </c>
      <c r="AZ178" s="24">
        <v>-3.1713438284280193E-2</v>
      </c>
      <c r="BA178" s="73">
        <v>-1.3914656771799594E-2</v>
      </c>
      <c r="BB178" s="73">
        <v>5.6710775047259521E-3</v>
      </c>
      <c r="BC178" s="73">
        <v>-1.6965127238454336E-2</v>
      </c>
      <c r="BD178" s="73">
        <v>-2.005730659025784E-2</v>
      </c>
      <c r="BE178" s="24">
        <v>-1.1310084825636224E-2</v>
      </c>
    </row>
    <row r="179" spans="1:57">
      <c r="A179" s="69" t="s">
        <v>247</v>
      </c>
      <c r="B179" s="37">
        <v>712</v>
      </c>
      <c r="C179" s="80" t="s">
        <v>52</v>
      </c>
      <c r="D179" s="80" t="s">
        <v>52</v>
      </c>
      <c r="E179" s="80" t="s">
        <v>52</v>
      </c>
      <c r="F179" s="80" t="s">
        <v>52</v>
      </c>
      <c r="G179" s="37">
        <v>790</v>
      </c>
      <c r="H179" s="70">
        <v>207</v>
      </c>
      <c r="I179" s="70">
        <v>210</v>
      </c>
      <c r="J179" s="70">
        <v>221</v>
      </c>
      <c r="K179" s="70">
        <f>L179-J179-I179-H179</f>
        <v>225</v>
      </c>
      <c r="L179" s="37">
        <v>863</v>
      </c>
      <c r="M179" s="70">
        <v>236</v>
      </c>
      <c r="N179" s="70">
        <v>235</v>
      </c>
      <c r="O179" s="70">
        <v>249</v>
      </c>
      <c r="P179" s="70">
        <f>Q179-O179-N179-M179</f>
        <v>257</v>
      </c>
      <c r="Q179" s="37">
        <v>977</v>
      </c>
      <c r="R179" s="70">
        <v>265</v>
      </c>
      <c r="S179" s="70">
        <v>269</v>
      </c>
      <c r="T179" s="70">
        <v>276</v>
      </c>
      <c r="U179" s="70">
        <f>V179-T179-S179-R179</f>
        <v>282</v>
      </c>
      <c r="V179" s="37">
        <v>1092</v>
      </c>
      <c r="W179" s="70">
        <v>296</v>
      </c>
      <c r="X179" s="70">
        <v>285</v>
      </c>
      <c r="Y179" s="70">
        <v>291</v>
      </c>
      <c r="Z179" s="70">
        <f>AA179-Y179-X179-W179</f>
        <v>294</v>
      </c>
      <c r="AA179" s="37">
        <v>1166</v>
      </c>
      <c r="AB179" s="70">
        <v>310</v>
      </c>
      <c r="AC179" s="70">
        <v>321</v>
      </c>
      <c r="AD179" s="70">
        <v>332</v>
      </c>
      <c r="AE179" s="70">
        <f>AF179-AD179-AC179-AB179</f>
        <v>324</v>
      </c>
      <c r="AF179" s="37">
        <v>1287</v>
      </c>
      <c r="AG179" s="70">
        <v>332</v>
      </c>
      <c r="AH179" s="70">
        <v>345</v>
      </c>
      <c r="AI179" s="70">
        <v>353</v>
      </c>
      <c r="AJ179" s="70">
        <v>364</v>
      </c>
      <c r="AK179" s="37">
        <v>1394</v>
      </c>
      <c r="AL179" s="70">
        <v>358</v>
      </c>
      <c r="AM179" s="70">
        <v>366</v>
      </c>
      <c r="AN179" s="70">
        <v>363</v>
      </c>
      <c r="AO179" s="70">
        <v>363</v>
      </c>
      <c r="AP179" s="37">
        <v>1450</v>
      </c>
      <c r="AQ179" s="70">
        <v>371</v>
      </c>
      <c r="AR179" s="70">
        <v>374</v>
      </c>
      <c r="AS179" s="70">
        <v>374</v>
      </c>
      <c r="AT179" s="70">
        <v>381</v>
      </c>
      <c r="AU179" s="37">
        <v>1500</v>
      </c>
      <c r="AV179" s="70">
        <v>382</v>
      </c>
      <c r="AW179" s="70">
        <v>381</v>
      </c>
      <c r="AX179" s="70">
        <v>386</v>
      </c>
      <c r="AY179" s="70">
        <v>395</v>
      </c>
      <c r="AZ179" s="37">
        <v>1544</v>
      </c>
      <c r="BA179" s="70">
        <v>396</v>
      </c>
      <c r="BB179" s="70">
        <v>403</v>
      </c>
      <c r="BC179" s="70">
        <v>401</v>
      </c>
      <c r="BD179" s="70">
        <v>396</v>
      </c>
      <c r="BE179" s="37">
        <v>1596</v>
      </c>
    </row>
    <row r="180" spans="1:57">
      <c r="A180" s="71" t="s">
        <v>7</v>
      </c>
      <c r="B180" s="24"/>
      <c r="C180" s="72"/>
      <c r="D180" s="72"/>
      <c r="E180" s="72"/>
      <c r="F180" s="72"/>
      <c r="G180" s="24"/>
      <c r="H180" s="72"/>
      <c r="I180" s="72">
        <f>I179/H179-1</f>
        <v>1.449275362318847E-2</v>
      </c>
      <c r="J180" s="72">
        <f>J179/I179-1</f>
        <v>5.2380952380952417E-2</v>
      </c>
      <c r="K180" s="72">
        <f>K179/J179-1</f>
        <v>1.8099547511312153E-2</v>
      </c>
      <c r="L180" s="24"/>
      <c r="M180" s="72">
        <f>M179/K179-1</f>
        <v>4.8888888888888982E-2</v>
      </c>
      <c r="N180" s="72">
        <f>N179/M179-1</f>
        <v>-4.237288135593209E-3</v>
      </c>
      <c r="O180" s="72">
        <f>O179/N179-1</f>
        <v>5.9574468085106469E-2</v>
      </c>
      <c r="P180" s="72">
        <f>P179/O179-1</f>
        <v>3.2128514056224855E-2</v>
      </c>
      <c r="Q180" s="24"/>
      <c r="R180" s="72">
        <f>R179/P179-1</f>
        <v>3.112840466926059E-2</v>
      </c>
      <c r="S180" s="72">
        <f>S179/R179-1</f>
        <v>1.5094339622641506E-2</v>
      </c>
      <c r="T180" s="72">
        <f>T179/S179-1</f>
        <v>2.6022304832713727E-2</v>
      </c>
      <c r="U180" s="72">
        <f>U179/T179-1</f>
        <v>2.1739130434782705E-2</v>
      </c>
      <c r="V180" s="24"/>
      <c r="W180" s="72">
        <f>W179/U179-1</f>
        <v>4.9645390070921946E-2</v>
      </c>
      <c r="X180" s="72">
        <f>X179/W179-1</f>
        <v>-3.7162162162162171E-2</v>
      </c>
      <c r="Y180" s="72">
        <f>Y179/X179-1</f>
        <v>2.1052631578947434E-2</v>
      </c>
      <c r="Z180" s="72">
        <f>Z179/Y179-1</f>
        <v>1.0309278350515427E-2</v>
      </c>
      <c r="AA180" s="24"/>
      <c r="AB180" s="72">
        <f>AB179/Z179-1</f>
        <v>5.4421768707483054E-2</v>
      </c>
      <c r="AC180" s="72">
        <f>AC179/AB179-1</f>
        <v>3.548387096774186E-2</v>
      </c>
      <c r="AD180" s="72">
        <f>AD179/AC179-1</f>
        <v>3.4267912772585563E-2</v>
      </c>
      <c r="AE180" s="72">
        <f>AE179/AD179-1</f>
        <v>-2.4096385542168641E-2</v>
      </c>
      <c r="AF180" s="24"/>
      <c r="AG180" s="72">
        <v>2.4691358024691468E-2</v>
      </c>
      <c r="AH180" s="72">
        <v>3.9156626506024139E-2</v>
      </c>
      <c r="AI180" s="72">
        <v>2.3188405797101463E-2</v>
      </c>
      <c r="AJ180" s="72">
        <v>3.1161473087818692E-2</v>
      </c>
      <c r="AK180" s="24"/>
      <c r="AL180" s="72">
        <v>-1.6483516483516536E-2</v>
      </c>
      <c r="AM180" s="72">
        <v>2.2346368715083775E-2</v>
      </c>
      <c r="AN180" s="72">
        <v>-8.1967213114754189E-3</v>
      </c>
      <c r="AO180" s="72">
        <v>0</v>
      </c>
      <c r="AP180" s="24"/>
      <c r="AQ180" s="72">
        <v>2.2038567493112948E-2</v>
      </c>
      <c r="AR180" s="72">
        <v>8.0862533692722671E-3</v>
      </c>
      <c r="AS180" s="72">
        <v>0</v>
      </c>
      <c r="AT180" s="72">
        <v>1.8716577540107027E-2</v>
      </c>
      <c r="AU180" s="24"/>
      <c r="AV180" s="72">
        <v>2.624671916010568E-3</v>
      </c>
      <c r="AW180" s="72">
        <v>-2.6178010471203939E-3</v>
      </c>
      <c r="AX180" s="72">
        <v>1.3123359580052396E-2</v>
      </c>
      <c r="AY180" s="72">
        <v>2.3316062176165886E-2</v>
      </c>
      <c r="AZ180" s="24"/>
      <c r="BA180" s="72">
        <v>2.5316455696202667E-3</v>
      </c>
      <c r="BB180" s="72">
        <v>1.7676767676767735E-2</v>
      </c>
      <c r="BC180" s="72">
        <v>-4.9627791563275903E-3</v>
      </c>
      <c r="BD180" s="72">
        <v>-1.2468827930174564E-2</v>
      </c>
      <c r="BE180" s="24"/>
    </row>
    <row r="181" spans="1:57" ht="9.75" customHeight="1">
      <c r="A181" s="71" t="s">
        <v>8</v>
      </c>
      <c r="B181" s="24"/>
      <c r="C181" s="73"/>
      <c r="D181" s="73"/>
      <c r="E181" s="73"/>
      <c r="F181" s="73"/>
      <c r="G181" s="24">
        <f>G179/B179-1</f>
        <v>0.1095505617977528</v>
      </c>
      <c r="H181" s="73"/>
      <c r="I181" s="73"/>
      <c r="J181" s="73"/>
      <c r="K181" s="73"/>
      <c r="L181" s="24">
        <f t="shared" ref="L181:R181" si="124">L179/G179-1</f>
        <v>9.2405063291139289E-2</v>
      </c>
      <c r="M181" s="73">
        <f t="shared" si="124"/>
        <v>0.14009661835748788</v>
      </c>
      <c r="N181" s="73">
        <f t="shared" si="124"/>
        <v>0.11904761904761907</v>
      </c>
      <c r="O181" s="73">
        <f t="shared" si="124"/>
        <v>0.12669683257918551</v>
      </c>
      <c r="P181" s="73">
        <f t="shared" si="124"/>
        <v>0.14222222222222225</v>
      </c>
      <c r="Q181" s="24">
        <f t="shared" si="124"/>
        <v>0.13209733487833142</v>
      </c>
      <c r="R181" s="73">
        <f t="shared" si="124"/>
        <v>0.12288135593220328</v>
      </c>
      <c r="S181" s="73">
        <f t="shared" ref="S181:Y181" si="125">S179/N179-1</f>
        <v>0.14468085106382977</v>
      </c>
      <c r="T181" s="73">
        <f t="shared" si="125"/>
        <v>0.10843373493975905</v>
      </c>
      <c r="U181" s="73">
        <f t="shared" si="125"/>
        <v>9.7276264591439787E-2</v>
      </c>
      <c r="V181" s="24">
        <f t="shared" si="125"/>
        <v>0.11770726714431934</v>
      </c>
      <c r="W181" s="73">
        <f t="shared" si="125"/>
        <v>0.11698113207547167</v>
      </c>
      <c r="X181" s="73">
        <f t="shared" si="125"/>
        <v>5.9479553903345694E-2</v>
      </c>
      <c r="Y181" s="73">
        <f t="shared" si="125"/>
        <v>5.4347826086956541E-2</v>
      </c>
      <c r="Z181" s="73">
        <f t="shared" ref="Z181:AE181" si="126">Z179/U179-1</f>
        <v>4.2553191489361764E-2</v>
      </c>
      <c r="AA181" s="24">
        <f t="shared" si="126"/>
        <v>6.7765567765567747E-2</v>
      </c>
      <c r="AB181" s="73">
        <f t="shared" si="126"/>
        <v>4.7297297297297369E-2</v>
      </c>
      <c r="AC181" s="73">
        <f t="shared" si="126"/>
        <v>0.12631578947368416</v>
      </c>
      <c r="AD181" s="73">
        <f t="shared" si="126"/>
        <v>0.14089347079037795</v>
      </c>
      <c r="AE181" s="73">
        <f t="shared" si="126"/>
        <v>0.1020408163265305</v>
      </c>
      <c r="AF181" s="24">
        <v>0.10377358490566047</v>
      </c>
      <c r="AG181" s="73">
        <v>7.0967741935483941E-2</v>
      </c>
      <c r="AH181" s="73">
        <v>7.4766355140186924E-2</v>
      </c>
      <c r="AI181" s="73">
        <v>6.3253012048192669E-2</v>
      </c>
      <c r="AJ181" s="73">
        <v>0.12345679012345689</v>
      </c>
      <c r="AK181" s="24">
        <v>8.3139083139083247E-2</v>
      </c>
      <c r="AL181" s="73">
        <v>7.8313253012048278E-2</v>
      </c>
      <c r="AM181" s="73">
        <v>6.0869565217391397E-2</v>
      </c>
      <c r="AN181" s="73">
        <v>2.8328611898017053E-2</v>
      </c>
      <c r="AO181" s="73">
        <v>-2.7472527472527375E-3</v>
      </c>
      <c r="AP181" s="24">
        <v>4.0172166427546729E-2</v>
      </c>
      <c r="AQ181" s="73">
        <v>3.6312849162011274E-2</v>
      </c>
      <c r="AR181" s="73">
        <v>2.1857923497267784E-2</v>
      </c>
      <c r="AS181" s="73">
        <v>3.0303030303030276E-2</v>
      </c>
      <c r="AT181" s="73">
        <v>4.9586776859504189E-2</v>
      </c>
      <c r="AU181" s="24">
        <v>3.4482758620689724E-2</v>
      </c>
      <c r="AV181" s="73">
        <v>2.9649595687331498E-2</v>
      </c>
      <c r="AW181" s="73">
        <v>1.8716577540107027E-2</v>
      </c>
      <c r="AX181" s="73">
        <v>3.2085561497326109E-2</v>
      </c>
      <c r="AY181" s="73">
        <v>3.6745406824147064E-2</v>
      </c>
      <c r="AZ181" s="24">
        <v>2.9333333333333433E-2</v>
      </c>
      <c r="BA181" s="73">
        <v>3.6649214659685958E-2</v>
      </c>
      <c r="BB181" s="73">
        <v>5.7742782152230943E-2</v>
      </c>
      <c r="BC181" s="73">
        <v>3.8860103626942921E-2</v>
      </c>
      <c r="BD181" s="73">
        <v>2.5316455696202667E-3</v>
      </c>
      <c r="BE181" s="24">
        <v>3.3678756476683835E-2</v>
      </c>
    </row>
    <row r="182" spans="1:57" s="36" customFormat="1">
      <c r="A182" s="69" t="s">
        <v>248</v>
      </c>
      <c r="B182" s="37">
        <v>3905</v>
      </c>
      <c r="C182" s="80" t="s">
        <v>52</v>
      </c>
      <c r="D182" s="80" t="s">
        <v>52</v>
      </c>
      <c r="E182" s="80" t="s">
        <v>52</v>
      </c>
      <c r="F182" s="80" t="s">
        <v>52</v>
      </c>
      <c r="G182" s="37">
        <v>3572</v>
      </c>
      <c r="H182" s="70">
        <v>839</v>
      </c>
      <c r="I182" s="70">
        <v>828</v>
      </c>
      <c r="J182" s="70">
        <v>843</v>
      </c>
      <c r="K182" s="70">
        <f>L182-J182-I182-H182</f>
        <v>823</v>
      </c>
      <c r="L182" s="37">
        <v>3333</v>
      </c>
      <c r="M182" s="70">
        <v>785</v>
      </c>
      <c r="N182" s="70">
        <v>795</v>
      </c>
      <c r="O182" s="70">
        <v>788</v>
      </c>
      <c r="P182" s="70">
        <f>Q182-O182-N182-M182</f>
        <v>792</v>
      </c>
      <c r="Q182" s="37">
        <v>3160</v>
      </c>
      <c r="R182" s="70">
        <v>617</v>
      </c>
      <c r="S182" s="70">
        <v>607</v>
      </c>
      <c r="T182" s="70">
        <v>612</v>
      </c>
      <c r="U182" s="70">
        <f>V182-T182-S182-R182</f>
        <v>557</v>
      </c>
      <c r="V182" s="37">
        <v>2393</v>
      </c>
      <c r="W182" s="70">
        <v>588</v>
      </c>
      <c r="X182" s="70">
        <v>572</v>
      </c>
      <c r="Y182" s="70">
        <v>557</v>
      </c>
      <c r="Z182" s="70">
        <f>AA182-Y182-X182-W182</f>
        <v>537</v>
      </c>
      <c r="AA182" s="37">
        <v>2254</v>
      </c>
      <c r="AB182" s="70">
        <v>510</v>
      </c>
      <c r="AC182" s="70">
        <v>503</v>
      </c>
      <c r="AD182" s="70">
        <v>490</v>
      </c>
      <c r="AE182" s="70">
        <f>AF182-AD182-AC182-AB182</f>
        <v>468</v>
      </c>
      <c r="AF182" s="37">
        <v>1971</v>
      </c>
      <c r="AG182" s="70">
        <v>426</v>
      </c>
      <c r="AH182" s="70">
        <v>415</v>
      </c>
      <c r="AI182" s="70">
        <v>418</v>
      </c>
      <c r="AJ182" s="70">
        <v>409</v>
      </c>
      <c r="AK182" s="37">
        <v>1668</v>
      </c>
      <c r="AL182" s="70">
        <v>381</v>
      </c>
      <c r="AM182" s="70">
        <v>375</v>
      </c>
      <c r="AN182" s="70">
        <v>373</v>
      </c>
      <c r="AO182" s="70">
        <v>370</v>
      </c>
      <c r="AP182" s="37">
        <v>1499</v>
      </c>
      <c r="AQ182" s="70">
        <v>359</v>
      </c>
      <c r="AR182" s="70">
        <v>351</v>
      </c>
      <c r="AS182" s="70">
        <v>351</v>
      </c>
      <c r="AT182" s="70">
        <v>331</v>
      </c>
      <c r="AU182" s="37">
        <v>1392</v>
      </c>
      <c r="AV182" s="70">
        <v>334</v>
      </c>
      <c r="AW182" s="70">
        <v>320</v>
      </c>
      <c r="AX182" s="70">
        <v>318</v>
      </c>
      <c r="AY182" s="70">
        <v>309</v>
      </c>
      <c r="AZ182" s="37">
        <v>1281</v>
      </c>
      <c r="BA182" s="70">
        <v>302</v>
      </c>
      <c r="BB182" s="70">
        <v>291</v>
      </c>
      <c r="BC182" s="70">
        <v>282</v>
      </c>
      <c r="BD182" s="70">
        <v>281</v>
      </c>
      <c r="BE182" s="37">
        <v>1156</v>
      </c>
    </row>
    <row r="183" spans="1:57">
      <c r="A183" s="71" t="s">
        <v>7</v>
      </c>
      <c r="B183" s="24"/>
      <c r="C183" s="72"/>
      <c r="D183" s="72"/>
      <c r="E183" s="72"/>
      <c r="F183" s="72"/>
      <c r="G183" s="24"/>
      <c r="H183" s="72"/>
      <c r="I183" s="72">
        <f>I182/H182-1</f>
        <v>-1.3110846245530383E-2</v>
      </c>
      <c r="J183" s="72">
        <f>J182/I182-1</f>
        <v>1.8115942028985588E-2</v>
      </c>
      <c r="K183" s="72">
        <f>K182/J182-1</f>
        <v>-2.3724792408066464E-2</v>
      </c>
      <c r="L183" s="24"/>
      <c r="M183" s="72">
        <f>M182/K182-1</f>
        <v>-4.6172539489671927E-2</v>
      </c>
      <c r="N183" s="72">
        <f>N182/M182-1</f>
        <v>1.2738853503184711E-2</v>
      </c>
      <c r="O183" s="72">
        <f>O182/N182-1</f>
        <v>-8.8050314465408785E-3</v>
      </c>
      <c r="P183" s="72">
        <f>P182/O182-1</f>
        <v>5.0761421319795996E-3</v>
      </c>
      <c r="Q183" s="24"/>
      <c r="R183" s="72">
        <f>R182/P182-1</f>
        <v>-0.22095959595959591</v>
      </c>
      <c r="S183" s="72">
        <f>S182/R182-1</f>
        <v>-1.620745542949753E-2</v>
      </c>
      <c r="T183" s="72">
        <f>T182/S182-1</f>
        <v>8.2372322899506578E-3</v>
      </c>
      <c r="U183" s="72">
        <f>U182/T182-1</f>
        <v>-8.9869281045751648E-2</v>
      </c>
      <c r="V183" s="24"/>
      <c r="W183" s="72">
        <f>W182/U182-1</f>
        <v>5.5655296229802476E-2</v>
      </c>
      <c r="X183" s="72">
        <f>X182/W182-1</f>
        <v>-2.7210884353741527E-2</v>
      </c>
      <c r="Y183" s="72">
        <f>Y182/X182-1</f>
        <v>-2.6223776223776252E-2</v>
      </c>
      <c r="Z183" s="72">
        <f>Z182/Y182-1</f>
        <v>-3.590664272890487E-2</v>
      </c>
      <c r="AA183" s="24"/>
      <c r="AB183" s="72">
        <f>AB182/Z182-1</f>
        <v>-5.027932960893855E-2</v>
      </c>
      <c r="AC183" s="72">
        <f>AC182/AB182-1</f>
        <v>-1.3725490196078383E-2</v>
      </c>
      <c r="AD183" s="72">
        <f>AD182/AC182-1</f>
        <v>-2.5844930417495027E-2</v>
      </c>
      <c r="AE183" s="72">
        <f>AE182/AD182-1</f>
        <v>-4.4897959183673453E-2</v>
      </c>
      <c r="AF183" s="24"/>
      <c r="AG183" s="72">
        <v>-8.9743589743589758E-2</v>
      </c>
      <c r="AH183" s="72">
        <v>-2.5821596244131495E-2</v>
      </c>
      <c r="AI183" s="72">
        <v>7.2289156626506035E-3</v>
      </c>
      <c r="AJ183" s="72">
        <v>-2.1531100478468845E-2</v>
      </c>
      <c r="AK183" s="24"/>
      <c r="AL183" s="72">
        <v>-6.8459657701711474E-2</v>
      </c>
      <c r="AM183" s="72">
        <v>-1.5748031496062964E-2</v>
      </c>
      <c r="AN183" s="72">
        <v>-5.3333333333333011E-3</v>
      </c>
      <c r="AO183" s="72">
        <v>-8.0428954423592547E-3</v>
      </c>
      <c r="AP183" s="24"/>
      <c r="AQ183" s="72">
        <v>-2.9729729729729759E-2</v>
      </c>
      <c r="AR183" s="72">
        <v>-2.2284122562674091E-2</v>
      </c>
      <c r="AS183" s="72">
        <v>0</v>
      </c>
      <c r="AT183" s="72">
        <v>-5.6980056980056926E-2</v>
      </c>
      <c r="AU183" s="24"/>
      <c r="AV183" s="72">
        <v>9.0634441087613649E-3</v>
      </c>
      <c r="AW183" s="72">
        <v>-4.1916167664670656E-2</v>
      </c>
      <c r="AX183" s="72">
        <v>-6.2499999999999778E-3</v>
      </c>
      <c r="AY183" s="72">
        <v>-2.8301886792452824E-2</v>
      </c>
      <c r="AZ183" s="24"/>
      <c r="BA183" s="72">
        <v>-2.2653721682847849E-2</v>
      </c>
      <c r="BB183" s="72">
        <v>-3.6423841059602613E-2</v>
      </c>
      <c r="BC183" s="72">
        <v>-3.0927835051546393E-2</v>
      </c>
      <c r="BD183" s="72">
        <v>-3.5460992907800915E-3</v>
      </c>
      <c r="BE183" s="24"/>
    </row>
    <row r="184" spans="1:57" ht="9.75" customHeight="1">
      <c r="A184" s="71" t="s">
        <v>8</v>
      </c>
      <c r="B184" s="24"/>
      <c r="C184" s="73"/>
      <c r="D184" s="73"/>
      <c r="E184" s="73"/>
      <c r="F184" s="73"/>
      <c r="G184" s="24">
        <f t="shared" ref="G184:N184" si="127">G182/B182-1</f>
        <v>-8.5275288092189538E-2</v>
      </c>
      <c r="H184" s="73"/>
      <c r="I184" s="73"/>
      <c r="J184" s="73"/>
      <c r="K184" s="73"/>
      <c r="L184" s="24">
        <f t="shared" si="127"/>
        <v>-6.690929451287797E-2</v>
      </c>
      <c r="M184" s="73">
        <f t="shared" si="127"/>
        <v>-6.4362336114421881E-2</v>
      </c>
      <c r="N184" s="73">
        <f t="shared" si="127"/>
        <v>-3.9855072463768071E-2</v>
      </c>
      <c r="O184" s="73">
        <f t="shared" ref="O184:Y184" si="128">O182/J182-1</f>
        <v>-6.5243179122182693E-2</v>
      </c>
      <c r="P184" s="73">
        <f t="shared" si="128"/>
        <v>-3.7667071688942899E-2</v>
      </c>
      <c r="Q184" s="24">
        <f t="shared" si="128"/>
        <v>-5.1905190519051958E-2</v>
      </c>
      <c r="R184" s="73">
        <f t="shared" si="128"/>
        <v>-0.21401273885350314</v>
      </c>
      <c r="S184" s="73">
        <f t="shared" si="128"/>
        <v>-0.2364779874213836</v>
      </c>
      <c r="T184" s="73">
        <f t="shared" si="128"/>
        <v>-0.2233502538071066</v>
      </c>
      <c r="U184" s="73">
        <f t="shared" si="128"/>
        <v>-0.29671717171717171</v>
      </c>
      <c r="V184" s="24">
        <f t="shared" si="128"/>
        <v>-0.24272151898734173</v>
      </c>
      <c r="W184" s="73">
        <f t="shared" si="128"/>
        <v>-4.7001620745542927E-2</v>
      </c>
      <c r="X184" s="73">
        <f t="shared" si="128"/>
        <v>-5.766062602965405E-2</v>
      </c>
      <c r="Y184" s="73">
        <f t="shared" si="128"/>
        <v>-8.9869281045751648E-2</v>
      </c>
      <c r="Z184" s="73">
        <f t="shared" ref="Z184:AE184" si="129">Z182/U182-1</f>
        <v>-3.590664272890487E-2</v>
      </c>
      <c r="AA184" s="24">
        <f t="shared" si="129"/>
        <v>-5.8086084412870886E-2</v>
      </c>
      <c r="AB184" s="73">
        <f t="shared" si="129"/>
        <v>-0.13265306122448983</v>
      </c>
      <c r="AC184" s="73">
        <f t="shared" si="129"/>
        <v>-0.12062937062937062</v>
      </c>
      <c r="AD184" s="73">
        <f t="shared" si="129"/>
        <v>-0.1202872531418312</v>
      </c>
      <c r="AE184" s="73">
        <f t="shared" si="129"/>
        <v>-0.12849162011173187</v>
      </c>
      <c r="AF184" s="24">
        <v>-0.12555456965394851</v>
      </c>
      <c r="AG184" s="73">
        <v>-0.16470588235294115</v>
      </c>
      <c r="AH184" s="73">
        <v>-0.1749502982107356</v>
      </c>
      <c r="AI184" s="73">
        <v>-0.14693877551020407</v>
      </c>
      <c r="AJ184" s="73">
        <v>-0.12606837606837606</v>
      </c>
      <c r="AK184" s="24">
        <v>-0.15372907153729076</v>
      </c>
      <c r="AL184" s="73">
        <v>-0.10563380281690138</v>
      </c>
      <c r="AM184" s="73">
        <v>-9.6385542168674676E-2</v>
      </c>
      <c r="AN184" s="73">
        <v>-0.10765550239234445</v>
      </c>
      <c r="AO184" s="73">
        <v>-9.5354523227383914E-2</v>
      </c>
      <c r="AP184" s="24">
        <v>-0.10131894484412474</v>
      </c>
      <c r="AQ184" s="73">
        <v>-5.7742782152230943E-2</v>
      </c>
      <c r="AR184" s="73">
        <v>-6.3999999999999946E-2</v>
      </c>
      <c r="AS184" s="73">
        <v>-5.8981233243967868E-2</v>
      </c>
      <c r="AT184" s="73">
        <v>-0.10540540540540544</v>
      </c>
      <c r="AU184" s="24">
        <v>-7.138092061374246E-2</v>
      </c>
      <c r="AV184" s="73">
        <v>-6.9637883008356494E-2</v>
      </c>
      <c r="AW184" s="73">
        <v>-8.8319088319088301E-2</v>
      </c>
      <c r="AX184" s="73">
        <v>-9.4017094017094016E-2</v>
      </c>
      <c r="AY184" s="73">
        <v>-6.6465256797583083E-2</v>
      </c>
      <c r="AZ184" s="24">
        <v>-7.9741379310344862E-2</v>
      </c>
      <c r="BA184" s="73">
        <v>-9.5808383233532912E-2</v>
      </c>
      <c r="BB184" s="73">
        <v>-9.0624999999999956E-2</v>
      </c>
      <c r="BC184" s="73">
        <v>-0.1132075471698113</v>
      </c>
      <c r="BD184" s="73">
        <v>-9.061488673139162E-2</v>
      </c>
      <c r="BE184" s="24">
        <v>-9.7580015612802495E-2</v>
      </c>
    </row>
    <row r="185" spans="1:57">
      <c r="A185" s="69" t="s">
        <v>250</v>
      </c>
      <c r="B185" s="37">
        <v>754</v>
      </c>
      <c r="C185" s="80" t="s">
        <v>52</v>
      </c>
      <c r="D185" s="80" t="s">
        <v>52</v>
      </c>
      <c r="E185" s="80" t="s">
        <v>52</v>
      </c>
      <c r="F185" s="80" t="s">
        <v>52</v>
      </c>
      <c r="G185" s="37">
        <v>811</v>
      </c>
      <c r="H185" s="70">
        <v>207</v>
      </c>
      <c r="I185" s="70">
        <v>213</v>
      </c>
      <c r="J185" s="70">
        <v>217</v>
      </c>
      <c r="K185" s="70">
        <f>L185-J185-I185-H185</f>
        <v>214</v>
      </c>
      <c r="L185" s="37">
        <v>851</v>
      </c>
      <c r="M185" s="70">
        <v>223</v>
      </c>
      <c r="N185" s="70">
        <v>221</v>
      </c>
      <c r="O185" s="70">
        <v>219</v>
      </c>
      <c r="P185" s="70">
        <f>Q185-O185-N185-M185</f>
        <v>219</v>
      </c>
      <c r="Q185" s="37">
        <v>882</v>
      </c>
      <c r="R185" s="70">
        <v>228</v>
      </c>
      <c r="S185" s="70">
        <v>233</v>
      </c>
      <c r="T185" s="70">
        <v>239</v>
      </c>
      <c r="U185" s="70">
        <f>V185-T185-S185-R185</f>
        <v>231</v>
      </c>
      <c r="V185" s="37">
        <v>931</v>
      </c>
      <c r="W185" s="70">
        <v>245</v>
      </c>
      <c r="X185" s="70">
        <v>247</v>
      </c>
      <c r="Y185" s="70">
        <v>243</v>
      </c>
      <c r="Z185" s="70">
        <f>AA185-Y185-X185-W185</f>
        <v>241</v>
      </c>
      <c r="AA185" s="37">
        <v>976</v>
      </c>
      <c r="AB185" s="70">
        <v>247</v>
      </c>
      <c r="AC185" s="70">
        <v>241</v>
      </c>
      <c r="AD185" s="70">
        <v>252</v>
      </c>
      <c r="AE185" s="70">
        <f>AF185-AD185-AC185-AB185</f>
        <v>250</v>
      </c>
      <c r="AF185" s="37">
        <v>990</v>
      </c>
      <c r="AG185" s="70">
        <v>259</v>
      </c>
      <c r="AH185" s="70">
        <v>255</v>
      </c>
      <c r="AI185" s="70">
        <v>251</v>
      </c>
      <c r="AJ185" s="70">
        <v>257</v>
      </c>
      <c r="AK185" s="37">
        <v>1022</v>
      </c>
      <c r="AL185" s="70">
        <v>265</v>
      </c>
      <c r="AM185" s="70">
        <v>263</v>
      </c>
      <c r="AN185" s="70">
        <v>265</v>
      </c>
      <c r="AO185" s="70">
        <v>260</v>
      </c>
      <c r="AP185" s="37">
        <v>1053</v>
      </c>
      <c r="AQ185" s="70">
        <v>271</v>
      </c>
      <c r="AR185" s="70">
        <v>268</v>
      </c>
      <c r="AS185" s="70">
        <v>258</v>
      </c>
      <c r="AT185" s="70">
        <v>272</v>
      </c>
      <c r="AU185" s="37">
        <v>1069</v>
      </c>
      <c r="AV185" s="70">
        <v>250</v>
      </c>
      <c r="AW185" s="70">
        <v>244</v>
      </c>
      <c r="AX185" s="70">
        <v>244</v>
      </c>
      <c r="AY185" s="70">
        <v>237</v>
      </c>
      <c r="AZ185" s="37">
        <v>975</v>
      </c>
      <c r="BA185" s="70">
        <v>247</v>
      </c>
      <c r="BB185" s="70">
        <v>244</v>
      </c>
      <c r="BC185" s="70">
        <v>243</v>
      </c>
      <c r="BD185" s="70">
        <v>243</v>
      </c>
      <c r="BE185" s="37">
        <v>977</v>
      </c>
    </row>
    <row r="186" spans="1:57">
      <c r="A186" s="71" t="s">
        <v>7</v>
      </c>
      <c r="B186" s="24"/>
      <c r="C186" s="72"/>
      <c r="D186" s="72"/>
      <c r="E186" s="72"/>
      <c r="F186" s="72"/>
      <c r="G186" s="24"/>
      <c r="H186" s="72"/>
      <c r="I186" s="72">
        <f>I185/H185-1</f>
        <v>2.8985507246376718E-2</v>
      </c>
      <c r="J186" s="72">
        <f>J185/I185-1</f>
        <v>1.8779342723004744E-2</v>
      </c>
      <c r="K186" s="72">
        <f>K185/J185-1</f>
        <v>-1.3824884792626779E-2</v>
      </c>
      <c r="L186" s="24"/>
      <c r="M186" s="72">
        <f>M185/K185-1</f>
        <v>4.20560747663552E-2</v>
      </c>
      <c r="N186" s="72">
        <f>N185/M185-1</f>
        <v>-8.9686098654708779E-3</v>
      </c>
      <c r="O186" s="72">
        <f>O185/N185-1</f>
        <v>-9.0497737556560764E-3</v>
      </c>
      <c r="P186" s="72">
        <f>P185/O185-1</f>
        <v>0</v>
      </c>
      <c r="Q186" s="24"/>
      <c r="R186" s="72">
        <f>R185/P185-1</f>
        <v>4.1095890410958846E-2</v>
      </c>
      <c r="S186" s="72">
        <f>S185/R185-1</f>
        <v>2.1929824561403466E-2</v>
      </c>
      <c r="T186" s="72">
        <f>T185/S185-1</f>
        <v>2.5751072961373467E-2</v>
      </c>
      <c r="U186" s="72">
        <f>U185/T185-1</f>
        <v>-3.3472803347280311E-2</v>
      </c>
      <c r="V186" s="24"/>
      <c r="W186" s="72">
        <f>W185/U185-1</f>
        <v>6.0606060606060552E-2</v>
      </c>
      <c r="X186" s="72">
        <f>X185/W185-1</f>
        <v>8.1632653061225469E-3</v>
      </c>
      <c r="Y186" s="72">
        <f>Y185/X185-1</f>
        <v>-1.619433198380571E-2</v>
      </c>
      <c r="Z186" s="72">
        <f>Z185/Y185-1</f>
        <v>-8.2304526748970819E-3</v>
      </c>
      <c r="AA186" s="24"/>
      <c r="AB186" s="72">
        <f>AB185/Z185-1</f>
        <v>2.4896265560165887E-2</v>
      </c>
      <c r="AC186" s="72">
        <f>AC185/AB185-1</f>
        <v>-2.4291497975708509E-2</v>
      </c>
      <c r="AD186" s="72">
        <f>AD185/AC185-1</f>
        <v>4.5643153526971014E-2</v>
      </c>
      <c r="AE186" s="72">
        <f>AE185/AD185-1</f>
        <v>-7.9365079365079083E-3</v>
      </c>
      <c r="AF186" s="24"/>
      <c r="AG186" s="72">
        <v>3.6000000000000032E-2</v>
      </c>
      <c r="AH186" s="72">
        <v>-1.5444015444015413E-2</v>
      </c>
      <c r="AI186" s="72">
        <v>-1.5686274509803977E-2</v>
      </c>
      <c r="AJ186" s="72">
        <v>2.3904382470119501E-2</v>
      </c>
      <c r="AK186" s="24"/>
      <c r="AL186" s="72">
        <v>3.112840466926059E-2</v>
      </c>
      <c r="AM186" s="72">
        <v>-7.547169811320753E-3</v>
      </c>
      <c r="AN186" s="72">
        <v>7.6045627376426506E-3</v>
      </c>
      <c r="AO186" s="72">
        <v>-1.8867924528301883E-2</v>
      </c>
      <c r="AP186" s="24"/>
      <c r="AQ186" s="72">
        <v>4.2307692307692379E-2</v>
      </c>
      <c r="AR186" s="72">
        <v>-1.1070110701106972E-2</v>
      </c>
      <c r="AS186" s="72">
        <v>-3.7313432835820892E-2</v>
      </c>
      <c r="AT186" s="72">
        <v>5.4263565891472965E-2</v>
      </c>
      <c r="AU186" s="24"/>
      <c r="AV186" s="72">
        <v>-8.0882352941176516E-2</v>
      </c>
      <c r="AW186" s="72">
        <v>-2.4000000000000021E-2</v>
      </c>
      <c r="AX186" s="72">
        <v>0</v>
      </c>
      <c r="AY186" s="72">
        <v>-2.8688524590163911E-2</v>
      </c>
      <c r="AZ186" s="24"/>
      <c r="BA186" s="72">
        <v>4.2194092827004148E-2</v>
      </c>
      <c r="BB186" s="72">
        <v>-1.2145748987854255E-2</v>
      </c>
      <c r="BC186" s="72">
        <v>-4.098360655737654E-3</v>
      </c>
      <c r="BD186" s="72">
        <v>0</v>
      </c>
      <c r="BE186" s="24"/>
    </row>
    <row r="187" spans="1:57">
      <c r="A187" s="71" t="s">
        <v>8</v>
      </c>
      <c r="B187" s="24"/>
      <c r="C187" s="73"/>
      <c r="D187" s="73"/>
      <c r="E187" s="73"/>
      <c r="F187" s="73"/>
      <c r="G187" s="24">
        <f>G185/B185-1</f>
        <v>7.5596816976127412E-2</v>
      </c>
      <c r="H187" s="73"/>
      <c r="I187" s="73"/>
      <c r="J187" s="73"/>
      <c r="K187" s="73"/>
      <c r="L187" s="24">
        <f t="shared" ref="L187:R187" si="130">L185/G185-1</f>
        <v>4.9321824907521572E-2</v>
      </c>
      <c r="M187" s="73">
        <f t="shared" si="130"/>
        <v>7.7294685990338063E-2</v>
      </c>
      <c r="N187" s="73">
        <f t="shared" si="130"/>
        <v>3.7558685446009488E-2</v>
      </c>
      <c r="O187" s="73">
        <f t="shared" si="130"/>
        <v>9.2165898617511122E-3</v>
      </c>
      <c r="P187" s="73">
        <f t="shared" si="130"/>
        <v>2.3364485981308469E-2</v>
      </c>
      <c r="Q187" s="24">
        <f t="shared" si="130"/>
        <v>3.6427732079906017E-2</v>
      </c>
      <c r="R187" s="73">
        <f t="shared" si="130"/>
        <v>2.2421524663677195E-2</v>
      </c>
      <c r="S187" s="73">
        <f t="shared" ref="S187:Y187" si="131">S185/N185-1</f>
        <v>5.4298642533936681E-2</v>
      </c>
      <c r="T187" s="73">
        <f t="shared" si="131"/>
        <v>9.1324200913242004E-2</v>
      </c>
      <c r="U187" s="73">
        <f t="shared" si="131"/>
        <v>5.4794520547945202E-2</v>
      </c>
      <c r="V187" s="24">
        <f t="shared" si="131"/>
        <v>5.555555555555558E-2</v>
      </c>
      <c r="W187" s="73">
        <f t="shared" si="131"/>
        <v>7.4561403508771829E-2</v>
      </c>
      <c r="X187" s="73">
        <f t="shared" si="131"/>
        <v>6.0085836909871349E-2</v>
      </c>
      <c r="Y187" s="73">
        <f t="shared" si="131"/>
        <v>1.6736401673640211E-2</v>
      </c>
      <c r="Z187" s="73">
        <f t="shared" ref="Z187:AE187" si="132">Z185/U185-1</f>
        <v>4.3290043290043378E-2</v>
      </c>
      <c r="AA187" s="24">
        <f t="shared" si="132"/>
        <v>4.8335123523093548E-2</v>
      </c>
      <c r="AB187" s="73">
        <f t="shared" si="132"/>
        <v>8.1632653061225469E-3</v>
      </c>
      <c r="AC187" s="73">
        <f t="shared" si="132"/>
        <v>-2.4291497975708509E-2</v>
      </c>
      <c r="AD187" s="73">
        <f t="shared" si="132"/>
        <v>3.7037037037036979E-2</v>
      </c>
      <c r="AE187" s="73">
        <f t="shared" si="132"/>
        <v>3.7344398340249052E-2</v>
      </c>
      <c r="AF187" s="24">
        <v>1.4344262295082011E-2</v>
      </c>
      <c r="AG187" s="73">
        <v>4.8582995951417018E-2</v>
      </c>
      <c r="AH187" s="73">
        <v>5.8091286307053958E-2</v>
      </c>
      <c r="AI187" s="73">
        <v>-3.9682539682539542E-3</v>
      </c>
      <c r="AJ187" s="73">
        <v>2.8000000000000025E-2</v>
      </c>
      <c r="AK187" s="24">
        <v>3.2323232323232309E-2</v>
      </c>
      <c r="AL187" s="73">
        <v>2.316602316602312E-2</v>
      </c>
      <c r="AM187" s="73">
        <v>3.1372549019607954E-2</v>
      </c>
      <c r="AN187" s="73">
        <v>5.5776892430278835E-2</v>
      </c>
      <c r="AO187" s="73">
        <v>1.1673151750972721E-2</v>
      </c>
      <c r="AP187" s="24">
        <v>3.0332681017612551E-2</v>
      </c>
      <c r="AQ187" s="73">
        <v>2.2641509433962259E-2</v>
      </c>
      <c r="AR187" s="73">
        <v>1.9011406844106515E-2</v>
      </c>
      <c r="AS187" s="73">
        <v>-2.6415094339622636E-2</v>
      </c>
      <c r="AT187" s="73">
        <v>4.6153846153846212E-2</v>
      </c>
      <c r="AU187" s="24">
        <v>1.5194681861348425E-2</v>
      </c>
      <c r="AV187" s="73">
        <v>-7.7490774907749027E-2</v>
      </c>
      <c r="AW187" s="73">
        <v>-8.9552238805970186E-2</v>
      </c>
      <c r="AX187" s="73">
        <v>-5.4263565891472854E-2</v>
      </c>
      <c r="AY187" s="73">
        <v>-0.12867647058823528</v>
      </c>
      <c r="AZ187" s="24">
        <v>-8.7932647333957004E-2</v>
      </c>
      <c r="BA187" s="73">
        <v>-1.2000000000000011E-2</v>
      </c>
      <c r="BB187" s="73">
        <v>0</v>
      </c>
      <c r="BC187" s="73">
        <v>-4.098360655737654E-3</v>
      </c>
      <c r="BD187" s="73">
        <v>2.5316455696202445E-2</v>
      </c>
      <c r="BE187" s="24">
        <v>2.0512820512821328E-3</v>
      </c>
    </row>
    <row r="188" spans="1:57" ht="11.25" customHeight="1">
      <c r="A188" s="69" t="s">
        <v>251</v>
      </c>
      <c r="B188" s="123" t="s">
        <v>44</v>
      </c>
      <c r="C188" s="80" t="s">
        <v>52</v>
      </c>
      <c r="D188" s="80" t="s">
        <v>52</v>
      </c>
      <c r="E188" s="80" t="s">
        <v>52</v>
      </c>
      <c r="F188" s="80" t="s">
        <v>52</v>
      </c>
      <c r="G188" s="123" t="s">
        <v>44</v>
      </c>
      <c r="H188" s="80" t="s">
        <v>52</v>
      </c>
      <c r="I188" s="80" t="s">
        <v>52</v>
      </c>
      <c r="J188" s="80" t="s">
        <v>52</v>
      </c>
      <c r="K188" s="80" t="s">
        <v>52</v>
      </c>
      <c r="L188" s="123" t="s">
        <v>44</v>
      </c>
      <c r="M188" s="80" t="s">
        <v>52</v>
      </c>
      <c r="N188" s="80" t="s">
        <v>52</v>
      </c>
      <c r="O188" s="80" t="s">
        <v>52</v>
      </c>
      <c r="P188" s="80" t="s">
        <v>52</v>
      </c>
      <c r="Q188" s="123" t="s">
        <v>44</v>
      </c>
      <c r="R188" s="80" t="s">
        <v>52</v>
      </c>
      <c r="S188" s="80" t="s">
        <v>52</v>
      </c>
      <c r="T188" s="80" t="s">
        <v>52</v>
      </c>
      <c r="U188" s="80" t="s">
        <v>52</v>
      </c>
      <c r="V188" s="123" t="s">
        <v>44</v>
      </c>
      <c r="W188" s="80" t="s">
        <v>52</v>
      </c>
      <c r="X188" s="80" t="s">
        <v>52</v>
      </c>
      <c r="Y188" s="80" t="s">
        <v>52</v>
      </c>
      <c r="Z188" s="80" t="s">
        <v>52</v>
      </c>
      <c r="AA188" s="123" t="s">
        <v>44</v>
      </c>
      <c r="AB188" s="80" t="s">
        <v>52</v>
      </c>
      <c r="AC188" s="80" t="s">
        <v>52</v>
      </c>
      <c r="AD188" s="80" t="s">
        <v>52</v>
      </c>
      <c r="AE188" s="80" t="s">
        <v>52</v>
      </c>
      <c r="AF188" s="123" t="s">
        <v>44</v>
      </c>
      <c r="AG188" s="80" t="s">
        <v>52</v>
      </c>
      <c r="AH188" s="80" t="s">
        <v>52</v>
      </c>
      <c r="AI188" s="80" t="s">
        <v>52</v>
      </c>
      <c r="AJ188" s="80" t="s">
        <v>52</v>
      </c>
      <c r="AK188" s="123" t="s">
        <v>44</v>
      </c>
      <c r="AL188" s="70">
        <v>48</v>
      </c>
      <c r="AM188" s="70">
        <v>43</v>
      </c>
      <c r="AN188" s="70">
        <v>46</v>
      </c>
      <c r="AO188" s="70">
        <v>46</v>
      </c>
      <c r="AP188" s="37">
        <v>184</v>
      </c>
      <c r="AQ188" s="70">
        <v>50</v>
      </c>
      <c r="AR188" s="70">
        <v>48</v>
      </c>
      <c r="AS188" s="70">
        <v>52</v>
      </c>
      <c r="AT188" s="70">
        <v>53</v>
      </c>
      <c r="AU188" s="37">
        <v>203</v>
      </c>
      <c r="AV188" s="70">
        <v>56</v>
      </c>
      <c r="AW188" s="70">
        <v>57</v>
      </c>
      <c r="AX188" s="70">
        <v>57</v>
      </c>
      <c r="AY188" s="70">
        <v>60</v>
      </c>
      <c r="AZ188" s="37">
        <v>230</v>
      </c>
      <c r="BA188" s="70">
        <v>62</v>
      </c>
      <c r="BB188" s="70">
        <v>66</v>
      </c>
      <c r="BC188" s="70">
        <v>69</v>
      </c>
      <c r="BD188" s="70">
        <v>63</v>
      </c>
      <c r="BE188" s="37">
        <v>260</v>
      </c>
    </row>
    <row r="189" spans="1:57">
      <c r="A189" s="71" t="s">
        <v>7</v>
      </c>
      <c r="B189" s="24"/>
      <c r="C189" s="73"/>
      <c r="D189" s="73"/>
      <c r="E189" s="73"/>
      <c r="F189" s="73"/>
      <c r="G189" s="24"/>
      <c r="H189" s="73"/>
      <c r="I189" s="73"/>
      <c r="J189" s="73"/>
      <c r="K189" s="73"/>
      <c r="L189" s="24"/>
      <c r="M189" s="73"/>
      <c r="N189" s="73"/>
      <c r="O189" s="73"/>
      <c r="P189" s="73"/>
      <c r="Q189" s="24"/>
      <c r="R189" s="73"/>
      <c r="S189" s="73"/>
      <c r="T189" s="73"/>
      <c r="U189" s="73"/>
      <c r="V189" s="24"/>
      <c r="W189" s="73"/>
      <c r="X189" s="73"/>
      <c r="Y189" s="73"/>
      <c r="Z189" s="73"/>
      <c r="AA189" s="24"/>
      <c r="AB189" s="73"/>
      <c r="AC189" s="73"/>
      <c r="AD189" s="73"/>
      <c r="AE189" s="73"/>
      <c r="AF189" s="24"/>
      <c r="AG189" s="73"/>
      <c r="AH189" s="73"/>
      <c r="AI189" s="73"/>
      <c r="AJ189" s="73"/>
      <c r="AK189" s="24"/>
      <c r="AL189" s="72"/>
      <c r="AM189" s="72">
        <v>-0.10416666666666663</v>
      </c>
      <c r="AN189" s="72">
        <v>6.9767441860465018E-2</v>
      </c>
      <c r="AO189" s="72">
        <v>0</v>
      </c>
      <c r="AP189" s="24"/>
      <c r="AQ189" s="72">
        <v>8.6956521739130377E-2</v>
      </c>
      <c r="AR189" s="72">
        <v>-4.0000000000000036E-2</v>
      </c>
      <c r="AS189" s="72">
        <v>8.3333333333333259E-2</v>
      </c>
      <c r="AT189" s="72">
        <v>1.9230769230769162E-2</v>
      </c>
      <c r="AU189" s="24"/>
      <c r="AV189" s="72">
        <v>5.6603773584905648E-2</v>
      </c>
      <c r="AW189" s="72">
        <v>1.7857142857142794E-2</v>
      </c>
      <c r="AX189" s="72">
        <v>0</v>
      </c>
      <c r="AY189" s="72">
        <v>5.2631578947368363E-2</v>
      </c>
      <c r="AZ189" s="24"/>
      <c r="BA189" s="72">
        <v>3.3333333333333437E-2</v>
      </c>
      <c r="BB189" s="72">
        <v>6.4516129032258007E-2</v>
      </c>
      <c r="BC189" s="72">
        <v>4.5454545454545414E-2</v>
      </c>
      <c r="BD189" s="72">
        <v>-8.6956521739130488E-2</v>
      </c>
      <c r="BE189" s="24"/>
    </row>
    <row r="190" spans="1:57">
      <c r="A190" s="71" t="s">
        <v>8</v>
      </c>
      <c r="B190" s="24"/>
      <c r="C190" s="73"/>
      <c r="D190" s="73"/>
      <c r="E190" s="73"/>
      <c r="F190" s="73"/>
      <c r="G190" s="24"/>
      <c r="H190" s="73"/>
      <c r="I190" s="73"/>
      <c r="J190" s="73"/>
      <c r="K190" s="73"/>
      <c r="L190" s="24"/>
      <c r="M190" s="73"/>
      <c r="N190" s="73"/>
      <c r="O190" s="73"/>
      <c r="P190" s="73"/>
      <c r="Q190" s="24"/>
      <c r="R190" s="73"/>
      <c r="S190" s="73"/>
      <c r="T190" s="73"/>
      <c r="U190" s="73"/>
      <c r="V190" s="24"/>
      <c r="W190" s="73"/>
      <c r="X190" s="73"/>
      <c r="Y190" s="73"/>
      <c r="Z190" s="73"/>
      <c r="AA190" s="24"/>
      <c r="AB190" s="73"/>
      <c r="AC190" s="73"/>
      <c r="AD190" s="73"/>
      <c r="AE190" s="73"/>
      <c r="AF190" s="24"/>
      <c r="AG190" s="73"/>
      <c r="AH190" s="73"/>
      <c r="AI190" s="73"/>
      <c r="AJ190" s="73"/>
      <c r="AK190" s="24"/>
      <c r="AL190" s="73"/>
      <c r="AM190" s="73"/>
      <c r="AN190" s="73"/>
      <c r="AO190" s="73"/>
      <c r="AP190" s="24"/>
      <c r="AQ190" s="73">
        <v>4.1666666666666741E-2</v>
      </c>
      <c r="AR190" s="73">
        <v>0.11627906976744184</v>
      </c>
      <c r="AS190" s="73">
        <v>0.13043478260869557</v>
      </c>
      <c r="AT190" s="73">
        <v>0.15217391304347827</v>
      </c>
      <c r="AU190" s="24">
        <v>0.10326086956521729</v>
      </c>
      <c r="AV190" s="73">
        <v>0.12000000000000011</v>
      </c>
      <c r="AW190" s="73">
        <v>0.1875</v>
      </c>
      <c r="AX190" s="73">
        <v>9.6153846153846256E-2</v>
      </c>
      <c r="AY190" s="73">
        <v>0.13207547169811318</v>
      </c>
      <c r="AZ190" s="24">
        <v>0.13300492610837433</v>
      </c>
      <c r="BA190" s="73">
        <v>0.10714285714285721</v>
      </c>
      <c r="BB190" s="73">
        <v>0.15789473684210531</v>
      </c>
      <c r="BC190" s="73">
        <v>0.21052631578947367</v>
      </c>
      <c r="BD190" s="73">
        <v>5.0000000000000044E-2</v>
      </c>
      <c r="BE190" s="24">
        <v>0.13043478260869557</v>
      </c>
    </row>
    <row r="191" spans="1:57" ht="10.5" customHeight="1">
      <c r="A191" s="69" t="s">
        <v>249</v>
      </c>
      <c r="B191" s="37">
        <v>342</v>
      </c>
      <c r="C191" s="80" t="s">
        <v>52</v>
      </c>
      <c r="D191" s="80" t="s">
        <v>52</v>
      </c>
      <c r="E191" s="80" t="s">
        <v>52</v>
      </c>
      <c r="F191" s="80" t="s">
        <v>52</v>
      </c>
      <c r="G191" s="37">
        <v>325</v>
      </c>
      <c r="H191" s="70">
        <v>73</v>
      </c>
      <c r="I191" s="70">
        <v>67</v>
      </c>
      <c r="J191" s="70">
        <v>62</v>
      </c>
      <c r="K191" s="70">
        <f>L191-J191-I191-H191</f>
        <v>54</v>
      </c>
      <c r="L191" s="37">
        <v>256</v>
      </c>
      <c r="M191" s="70">
        <v>60</v>
      </c>
      <c r="N191" s="70">
        <v>56</v>
      </c>
      <c r="O191" s="70">
        <v>67</v>
      </c>
      <c r="P191" s="70">
        <f>Q191-O191-N191-M191</f>
        <v>61</v>
      </c>
      <c r="Q191" s="37">
        <v>244</v>
      </c>
      <c r="R191" s="70">
        <v>68</v>
      </c>
      <c r="S191" s="70">
        <v>61</v>
      </c>
      <c r="T191" s="70">
        <v>59</v>
      </c>
      <c r="U191" s="70">
        <f>V191-T191-S191-R191</f>
        <v>44</v>
      </c>
      <c r="V191" s="37">
        <v>232</v>
      </c>
      <c r="W191" s="70">
        <v>70</v>
      </c>
      <c r="X191" s="70">
        <v>57</v>
      </c>
      <c r="Y191" s="70">
        <v>58</v>
      </c>
      <c r="Z191" s="70">
        <f>AA191-Y191-X191-W191</f>
        <v>49</v>
      </c>
      <c r="AA191" s="37">
        <v>234</v>
      </c>
      <c r="AB191" s="70">
        <v>62</v>
      </c>
      <c r="AC191" s="70">
        <v>56</v>
      </c>
      <c r="AD191" s="70">
        <v>53</v>
      </c>
      <c r="AE191" s="70">
        <f>AF191-AD191-AC191-AB191</f>
        <v>59</v>
      </c>
      <c r="AF191" s="37">
        <v>230</v>
      </c>
      <c r="AG191" s="70">
        <v>60</v>
      </c>
      <c r="AH191" s="70">
        <v>58</v>
      </c>
      <c r="AI191" s="70">
        <v>59</v>
      </c>
      <c r="AJ191" s="70">
        <v>56</v>
      </c>
      <c r="AK191" s="37">
        <v>233</v>
      </c>
      <c r="AL191" s="70">
        <v>61</v>
      </c>
      <c r="AM191" s="70">
        <v>58</v>
      </c>
      <c r="AN191" s="70">
        <v>54</v>
      </c>
      <c r="AO191" s="70">
        <v>48</v>
      </c>
      <c r="AP191" s="37">
        <v>221</v>
      </c>
      <c r="AQ191" s="70">
        <v>61</v>
      </c>
      <c r="AR191" s="70">
        <v>59</v>
      </c>
      <c r="AS191" s="70">
        <v>54</v>
      </c>
      <c r="AT191" s="70">
        <v>45</v>
      </c>
      <c r="AU191" s="37">
        <v>219</v>
      </c>
      <c r="AV191" s="70">
        <v>56</v>
      </c>
      <c r="AW191" s="70">
        <v>56</v>
      </c>
      <c r="AX191" s="70">
        <v>56</v>
      </c>
      <c r="AY191" s="70">
        <v>46</v>
      </c>
      <c r="AZ191" s="37">
        <v>214</v>
      </c>
      <c r="BA191" s="70">
        <v>56</v>
      </c>
      <c r="BB191" s="70">
        <v>60</v>
      </c>
      <c r="BC191" s="70">
        <v>48</v>
      </c>
      <c r="BD191" s="70">
        <v>43</v>
      </c>
      <c r="BE191" s="37">
        <v>207</v>
      </c>
    </row>
    <row r="192" spans="1:57" ht="11.25" customHeight="1">
      <c r="A192" s="71" t="s">
        <v>7</v>
      </c>
      <c r="B192" s="24"/>
      <c r="C192" s="72"/>
      <c r="D192" s="72"/>
      <c r="E192" s="72"/>
      <c r="F192" s="72"/>
      <c r="G192" s="24"/>
      <c r="H192" s="72"/>
      <c r="I192" s="72">
        <f>I191/H191-1</f>
        <v>-8.2191780821917804E-2</v>
      </c>
      <c r="J192" s="72">
        <f>J191/I191-1</f>
        <v>-7.4626865671641784E-2</v>
      </c>
      <c r="K192" s="72">
        <f>K191/J191-1</f>
        <v>-0.12903225806451613</v>
      </c>
      <c r="L192" s="24"/>
      <c r="M192" s="72">
        <f>M191/K191-1</f>
        <v>0.11111111111111116</v>
      </c>
      <c r="N192" s="72">
        <f>N191/M191-1</f>
        <v>-6.6666666666666652E-2</v>
      </c>
      <c r="O192" s="72">
        <f>O191/N191-1</f>
        <v>0.1964285714285714</v>
      </c>
      <c r="P192" s="72">
        <f>P191/O191-1</f>
        <v>-8.9552238805970186E-2</v>
      </c>
      <c r="Q192" s="24"/>
      <c r="R192" s="72">
        <f>R191/P191-1</f>
        <v>0.11475409836065564</v>
      </c>
      <c r="S192" s="72">
        <f>S191/R191-1</f>
        <v>-0.1029411764705882</v>
      </c>
      <c r="T192" s="72">
        <f>T191/S191-1</f>
        <v>-3.2786885245901676E-2</v>
      </c>
      <c r="U192" s="72">
        <f>U191/T191-1</f>
        <v>-0.25423728813559321</v>
      </c>
      <c r="V192" s="24"/>
      <c r="W192" s="72">
        <f>W191/U191-1</f>
        <v>0.59090909090909083</v>
      </c>
      <c r="X192" s="72">
        <f>X191/W191-1</f>
        <v>-0.18571428571428572</v>
      </c>
      <c r="Y192" s="72">
        <f>Y191/X191-1</f>
        <v>1.7543859649122862E-2</v>
      </c>
      <c r="Z192" s="72">
        <f>Z191/Y191-1</f>
        <v>-0.15517241379310343</v>
      </c>
      <c r="AA192" s="24"/>
      <c r="AB192" s="72">
        <f>AB191/Z191-1</f>
        <v>0.26530612244897966</v>
      </c>
      <c r="AC192" s="72">
        <f>AC191/AB191-1</f>
        <v>-9.6774193548387122E-2</v>
      </c>
      <c r="AD192" s="72">
        <f>AD191/AC191-1</f>
        <v>-5.3571428571428603E-2</v>
      </c>
      <c r="AE192" s="72">
        <f>AE191/AD191-1</f>
        <v>0.1132075471698113</v>
      </c>
      <c r="AF192" s="24"/>
      <c r="AG192" s="72">
        <v>1.6949152542372836E-2</v>
      </c>
      <c r="AH192" s="72">
        <v>-3.3333333333333326E-2</v>
      </c>
      <c r="AI192" s="72">
        <v>1.7241379310344751E-2</v>
      </c>
      <c r="AJ192" s="72">
        <v>-5.084745762711862E-2</v>
      </c>
      <c r="AK192" s="24"/>
      <c r="AL192" s="72">
        <v>8.9285714285714191E-2</v>
      </c>
      <c r="AM192" s="72">
        <v>-4.9180327868852514E-2</v>
      </c>
      <c r="AN192" s="72">
        <v>-6.8965517241379337E-2</v>
      </c>
      <c r="AO192" s="72">
        <v>-0.11111111111111116</v>
      </c>
      <c r="AP192" s="24"/>
      <c r="AQ192" s="72">
        <v>0.27083333333333326</v>
      </c>
      <c r="AR192" s="72">
        <v>-3.2786885245901676E-2</v>
      </c>
      <c r="AS192" s="72">
        <v>-8.4745762711864403E-2</v>
      </c>
      <c r="AT192" s="72">
        <v>-0.16666666666666663</v>
      </c>
      <c r="AU192" s="24"/>
      <c r="AV192" s="72">
        <v>0.24444444444444446</v>
      </c>
      <c r="AW192" s="72">
        <v>0</v>
      </c>
      <c r="AX192" s="72">
        <v>0</v>
      </c>
      <c r="AY192" s="72">
        <v>-0.1785714285714286</v>
      </c>
      <c r="AZ192" s="24"/>
      <c r="BA192" s="72">
        <v>0.21739130434782616</v>
      </c>
      <c r="BB192" s="72">
        <v>7.1428571428571397E-2</v>
      </c>
      <c r="BC192" s="72">
        <v>-0.19999999999999996</v>
      </c>
      <c r="BD192" s="72">
        <v>-0.10416666666666663</v>
      </c>
      <c r="BE192" s="24"/>
    </row>
    <row r="193" spans="1:57" ht="10.5" customHeight="1">
      <c r="A193" s="71" t="s">
        <v>8</v>
      </c>
      <c r="B193" s="24"/>
      <c r="C193" s="73"/>
      <c r="D193" s="73"/>
      <c r="E193" s="73"/>
      <c r="F193" s="73"/>
      <c r="G193" s="24">
        <f>G191/B191-1</f>
        <v>-4.9707602339181256E-2</v>
      </c>
      <c r="H193" s="73"/>
      <c r="I193" s="73"/>
      <c r="J193" s="73"/>
      <c r="K193" s="73"/>
      <c r="L193" s="24">
        <f t="shared" ref="L193:R193" si="133">L191/G191-1</f>
        <v>-0.21230769230769231</v>
      </c>
      <c r="M193" s="73">
        <f t="shared" si="133"/>
        <v>-0.17808219178082196</v>
      </c>
      <c r="N193" s="73">
        <f t="shared" si="133"/>
        <v>-0.16417910447761197</v>
      </c>
      <c r="O193" s="73">
        <f t="shared" si="133"/>
        <v>8.0645161290322509E-2</v>
      </c>
      <c r="P193" s="73">
        <f t="shared" si="133"/>
        <v>0.12962962962962954</v>
      </c>
      <c r="Q193" s="24">
        <f t="shared" si="133"/>
        <v>-4.6875E-2</v>
      </c>
      <c r="R193" s="73">
        <f t="shared" si="133"/>
        <v>0.1333333333333333</v>
      </c>
      <c r="S193" s="73">
        <f t="shared" ref="S193:Y193" si="134">S191/N191-1</f>
        <v>8.9285714285714191E-2</v>
      </c>
      <c r="T193" s="73">
        <f t="shared" si="134"/>
        <v>-0.11940298507462688</v>
      </c>
      <c r="U193" s="73">
        <f t="shared" si="134"/>
        <v>-0.27868852459016391</v>
      </c>
      <c r="V193" s="24">
        <f t="shared" si="134"/>
        <v>-4.9180327868852514E-2</v>
      </c>
      <c r="W193" s="73">
        <f t="shared" si="134"/>
        <v>2.9411764705882248E-2</v>
      </c>
      <c r="X193" s="73">
        <f t="shared" si="134"/>
        <v>-6.557377049180324E-2</v>
      </c>
      <c r="Y193" s="73">
        <f t="shared" si="134"/>
        <v>-1.6949152542372836E-2</v>
      </c>
      <c r="Z193" s="73">
        <f t="shared" ref="Z193:AE193" si="135">Z191/U191-1</f>
        <v>0.11363636363636354</v>
      </c>
      <c r="AA193" s="24">
        <f t="shared" si="135"/>
        <v>8.6206896551723755E-3</v>
      </c>
      <c r="AB193" s="73">
        <f t="shared" si="135"/>
        <v>-0.11428571428571432</v>
      </c>
      <c r="AC193" s="73">
        <f t="shared" si="135"/>
        <v>-1.7543859649122862E-2</v>
      </c>
      <c r="AD193" s="73">
        <f t="shared" si="135"/>
        <v>-8.6206896551724088E-2</v>
      </c>
      <c r="AE193" s="73">
        <f t="shared" si="135"/>
        <v>0.20408163265306123</v>
      </c>
      <c r="AF193" s="24">
        <v>-1.7094017094017144E-2</v>
      </c>
      <c r="AG193" s="73">
        <v>-3.2258064516129004E-2</v>
      </c>
      <c r="AH193" s="73">
        <v>3.5714285714285809E-2</v>
      </c>
      <c r="AI193" s="73">
        <v>0.1132075471698113</v>
      </c>
      <c r="AJ193" s="73">
        <v>-5.084745762711862E-2</v>
      </c>
      <c r="AK193" s="24">
        <v>1.304347826086949E-2</v>
      </c>
      <c r="AL193" s="73">
        <v>1.6666666666666607E-2</v>
      </c>
      <c r="AM193" s="73">
        <v>0</v>
      </c>
      <c r="AN193" s="73">
        <v>-8.4745762711864403E-2</v>
      </c>
      <c r="AO193" s="73">
        <v>-0.1428571428571429</v>
      </c>
      <c r="AP193" s="24">
        <v>-5.1502145922746823E-2</v>
      </c>
      <c r="AQ193" s="73">
        <v>0</v>
      </c>
      <c r="AR193" s="73">
        <v>1.7241379310344751E-2</v>
      </c>
      <c r="AS193" s="73">
        <v>0</v>
      </c>
      <c r="AT193" s="73">
        <v>-6.25E-2</v>
      </c>
      <c r="AU193" s="24">
        <v>-9.0497737556560764E-3</v>
      </c>
      <c r="AV193" s="73">
        <v>-8.1967213114754078E-2</v>
      </c>
      <c r="AW193" s="73">
        <v>-5.084745762711862E-2</v>
      </c>
      <c r="AX193" s="73">
        <v>3.7037037037036979E-2</v>
      </c>
      <c r="AY193" s="73">
        <v>2.2222222222222143E-2</v>
      </c>
      <c r="AZ193" s="24">
        <v>-2.2831050228310557E-2</v>
      </c>
      <c r="BA193" s="73">
        <v>0</v>
      </c>
      <c r="BB193" s="73">
        <v>7.1428571428571397E-2</v>
      </c>
      <c r="BC193" s="73">
        <v>-0.1428571428571429</v>
      </c>
      <c r="BD193" s="73">
        <v>-6.5217391304347783E-2</v>
      </c>
      <c r="BE193" s="24">
        <v>-3.2710280373831724E-2</v>
      </c>
    </row>
    <row r="194" spans="1:57" ht="3" customHeight="1">
      <c r="A194" s="40"/>
      <c r="B194" s="41"/>
      <c r="C194" s="42"/>
      <c r="D194" s="42"/>
      <c r="E194" s="42"/>
      <c r="F194" s="42"/>
      <c r="G194" s="41"/>
      <c r="H194" s="42"/>
      <c r="I194" s="42"/>
      <c r="J194" s="42"/>
      <c r="K194" s="42"/>
      <c r="L194" s="41"/>
      <c r="M194" s="42"/>
      <c r="N194" s="42"/>
      <c r="O194" s="42"/>
      <c r="P194" s="42"/>
      <c r="Q194" s="41"/>
      <c r="R194" s="42"/>
      <c r="S194" s="42"/>
      <c r="T194" s="42"/>
      <c r="U194" s="42"/>
      <c r="V194" s="41"/>
      <c r="W194" s="42"/>
      <c r="X194" s="42"/>
      <c r="Y194" s="42"/>
      <c r="Z194" s="42"/>
      <c r="AA194" s="41"/>
      <c r="AB194" s="42"/>
      <c r="AC194" s="42"/>
      <c r="AD194" s="42"/>
      <c r="AE194" s="42"/>
      <c r="AF194" s="41"/>
      <c r="AG194" s="42"/>
      <c r="AH194" s="42"/>
      <c r="AI194" s="42"/>
      <c r="AJ194" s="42"/>
      <c r="AK194" s="41"/>
      <c r="AL194" s="42"/>
      <c r="AM194" s="42"/>
      <c r="AN194" s="42"/>
      <c r="AO194" s="42"/>
      <c r="AP194" s="41"/>
      <c r="AQ194" s="42"/>
      <c r="AR194" s="42"/>
      <c r="AS194" s="42"/>
      <c r="AT194" s="42"/>
      <c r="AU194" s="41"/>
      <c r="AV194" s="42"/>
      <c r="AW194" s="42"/>
      <c r="AX194" s="42"/>
      <c r="AY194" s="42"/>
      <c r="AZ194" s="41"/>
      <c r="BA194" s="42"/>
      <c r="BB194" s="42"/>
      <c r="BC194" s="42"/>
      <c r="BD194" s="42"/>
      <c r="BE194" s="41"/>
    </row>
    <row r="195" spans="1:57">
      <c r="A195" s="69" t="s">
        <v>137</v>
      </c>
      <c r="B195" s="123" t="s">
        <v>44</v>
      </c>
      <c r="C195" s="80" t="s">
        <v>52</v>
      </c>
      <c r="D195" s="80" t="s">
        <v>52</v>
      </c>
      <c r="E195" s="80" t="s">
        <v>52</v>
      </c>
      <c r="F195" s="80" t="s">
        <v>52</v>
      </c>
      <c r="G195" s="37">
        <v>3303</v>
      </c>
      <c r="H195" s="80" t="s">
        <v>52</v>
      </c>
      <c r="I195" s="80" t="s">
        <v>52</v>
      </c>
      <c r="J195" s="80" t="s">
        <v>52</v>
      </c>
      <c r="K195" s="80" t="s">
        <v>52</v>
      </c>
      <c r="L195" s="37">
        <v>3165</v>
      </c>
      <c r="M195" s="80" t="s">
        <v>52</v>
      </c>
      <c r="N195" s="80" t="s">
        <v>52</v>
      </c>
      <c r="O195" s="80" t="s">
        <v>52</v>
      </c>
      <c r="P195" s="80" t="s">
        <v>52</v>
      </c>
      <c r="Q195" s="37">
        <v>3128</v>
      </c>
      <c r="R195" s="80" t="s">
        <v>52</v>
      </c>
      <c r="S195" s="80" t="s">
        <v>52</v>
      </c>
      <c r="T195" s="80" t="s">
        <v>52</v>
      </c>
      <c r="U195" s="80" t="s">
        <v>52</v>
      </c>
      <c r="V195" s="37">
        <v>2777</v>
      </c>
      <c r="W195" s="80" t="s">
        <v>52</v>
      </c>
      <c r="X195" s="80" t="s">
        <v>52</v>
      </c>
      <c r="Y195" s="80" t="s">
        <v>52</v>
      </c>
      <c r="Z195" s="80" t="s">
        <v>52</v>
      </c>
      <c r="AA195" s="37">
        <v>2716</v>
      </c>
      <c r="AB195" s="80" t="s">
        <v>52</v>
      </c>
      <c r="AC195" s="80" t="s">
        <v>52</v>
      </c>
      <c r="AD195" s="80" t="s">
        <v>52</v>
      </c>
      <c r="AE195" s="80" t="s">
        <v>52</v>
      </c>
      <c r="AF195" s="37">
        <v>2605</v>
      </c>
      <c r="AG195" s="80" t="s">
        <v>52</v>
      </c>
      <c r="AH195" s="80" t="s">
        <v>52</v>
      </c>
      <c r="AI195" s="80" t="s">
        <v>52</v>
      </c>
      <c r="AJ195" s="80" t="s">
        <v>52</v>
      </c>
      <c r="AK195" s="37">
        <v>2498</v>
      </c>
      <c r="AL195" s="80" t="s">
        <v>52</v>
      </c>
      <c r="AM195" s="80" t="s">
        <v>52</v>
      </c>
      <c r="AN195" s="80" t="s">
        <v>52</v>
      </c>
      <c r="AO195" s="80" t="s">
        <v>52</v>
      </c>
      <c r="AP195" s="37">
        <v>2507</v>
      </c>
      <c r="AQ195" s="80" t="s">
        <v>52</v>
      </c>
      <c r="AR195" s="80" t="s">
        <v>52</v>
      </c>
      <c r="AS195" s="80" t="s">
        <v>52</v>
      </c>
      <c r="AT195" s="80" t="s">
        <v>52</v>
      </c>
      <c r="AU195" s="37">
        <v>2329</v>
      </c>
      <c r="AV195" s="80" t="s">
        <v>52</v>
      </c>
      <c r="AW195" s="80" t="s">
        <v>52</v>
      </c>
      <c r="AX195" s="80" t="s">
        <v>52</v>
      </c>
      <c r="AY195" s="80" t="s">
        <v>52</v>
      </c>
      <c r="AZ195" s="37">
        <v>2232</v>
      </c>
      <c r="BA195" s="80" t="s">
        <v>52</v>
      </c>
      <c r="BB195" s="80" t="s">
        <v>52</v>
      </c>
      <c r="BC195" s="80" t="s">
        <v>52</v>
      </c>
      <c r="BD195" s="80" t="s">
        <v>52</v>
      </c>
      <c r="BE195" s="37">
        <v>2101</v>
      </c>
    </row>
    <row r="196" spans="1:57" ht="11.25" customHeight="1">
      <c r="A196" s="71" t="s">
        <v>139</v>
      </c>
      <c r="B196" s="24"/>
      <c r="C196" s="73"/>
      <c r="D196" s="73"/>
      <c r="E196" s="73"/>
      <c r="F196" s="73"/>
      <c r="G196" s="24">
        <f>G195/G176</f>
        <v>0.70157323495248314</v>
      </c>
      <c r="H196" s="73"/>
      <c r="I196" s="73"/>
      <c r="J196" s="73"/>
      <c r="K196" s="73"/>
      <c r="L196" s="24">
        <f>L195/L176</f>
        <v>0.59683198189703945</v>
      </c>
      <c r="M196" s="73"/>
      <c r="N196" s="73"/>
      <c r="O196" s="73"/>
      <c r="P196" s="73"/>
      <c r="Q196" s="24">
        <f>Q195/Q176</f>
        <v>0.59433783013490404</v>
      </c>
      <c r="R196" s="73"/>
      <c r="S196" s="73"/>
      <c r="T196" s="73"/>
      <c r="U196" s="73"/>
      <c r="V196" s="24">
        <f>V195/V176</f>
        <v>0.59746127366609292</v>
      </c>
      <c r="W196" s="73"/>
      <c r="X196" s="73"/>
      <c r="Y196" s="73"/>
      <c r="Z196" s="73"/>
      <c r="AA196" s="24">
        <f>AA195/AA176</f>
        <v>0.58660907127429807</v>
      </c>
      <c r="AB196" s="73"/>
      <c r="AC196" s="73"/>
      <c r="AD196" s="73"/>
      <c r="AE196" s="73"/>
      <c r="AF196" s="24">
        <v>0.58173291648057168</v>
      </c>
      <c r="AG196" s="73"/>
      <c r="AH196" s="73"/>
      <c r="AI196" s="73"/>
      <c r="AJ196" s="73"/>
      <c r="AK196" s="24">
        <v>0.57864257586286771</v>
      </c>
      <c r="AL196" s="73"/>
      <c r="AM196" s="73"/>
      <c r="AN196" s="73"/>
      <c r="AO196" s="73"/>
      <c r="AP196" s="24">
        <v>0.56886771046063078</v>
      </c>
      <c r="AQ196" s="73"/>
      <c r="AR196" s="73"/>
      <c r="AS196" s="73"/>
      <c r="AT196" s="73"/>
      <c r="AU196" s="24">
        <v>0.53137120693588868</v>
      </c>
      <c r="AV196" s="73"/>
      <c r="AW196" s="73"/>
      <c r="AX196" s="73"/>
      <c r="AY196" s="73"/>
      <c r="AZ196" s="24">
        <v>0.52591894439208298</v>
      </c>
      <c r="BA196" s="73"/>
      <c r="BB196" s="73"/>
      <c r="BC196" s="73"/>
      <c r="BD196" s="73"/>
      <c r="BE196" s="24">
        <v>0.50071496663489035</v>
      </c>
    </row>
    <row r="197" spans="1:57">
      <c r="A197" s="69" t="s">
        <v>138</v>
      </c>
      <c r="B197" s="123" t="s">
        <v>44</v>
      </c>
      <c r="C197" s="80" t="s">
        <v>52</v>
      </c>
      <c r="D197" s="80" t="s">
        <v>52</v>
      </c>
      <c r="E197" s="80" t="s">
        <v>52</v>
      </c>
      <c r="F197" s="80" t="s">
        <v>52</v>
      </c>
      <c r="G197" s="37">
        <v>2195</v>
      </c>
      <c r="H197" s="80" t="s">
        <v>52</v>
      </c>
      <c r="I197" s="80" t="s">
        <v>52</v>
      </c>
      <c r="J197" s="80" t="s">
        <v>52</v>
      </c>
      <c r="K197" s="80" t="s">
        <v>52</v>
      </c>
      <c r="L197" s="37">
        <v>2138</v>
      </c>
      <c r="M197" s="80" t="s">
        <v>52</v>
      </c>
      <c r="N197" s="80" t="s">
        <v>52</v>
      </c>
      <c r="O197" s="80" t="s">
        <v>52</v>
      </c>
      <c r="P197" s="80" t="s">
        <v>52</v>
      </c>
      <c r="Q197" s="37">
        <v>2134</v>
      </c>
      <c r="R197" s="80" t="s">
        <v>52</v>
      </c>
      <c r="S197" s="80" t="s">
        <v>52</v>
      </c>
      <c r="T197" s="80" t="s">
        <v>52</v>
      </c>
      <c r="U197" s="80" t="s">
        <v>52</v>
      </c>
      <c r="V197" s="37">
        <v>1871</v>
      </c>
      <c r="W197" s="80" t="s">
        <v>52</v>
      </c>
      <c r="X197" s="80" t="s">
        <v>52</v>
      </c>
      <c r="Y197" s="80" t="s">
        <v>52</v>
      </c>
      <c r="Z197" s="80" t="s">
        <v>52</v>
      </c>
      <c r="AA197" s="37">
        <v>1914</v>
      </c>
      <c r="AB197" s="80" t="s">
        <v>52</v>
      </c>
      <c r="AC197" s="80" t="s">
        <v>52</v>
      </c>
      <c r="AD197" s="80" t="s">
        <v>52</v>
      </c>
      <c r="AE197" s="80" t="s">
        <v>52</v>
      </c>
      <c r="AF197" s="37">
        <v>1873</v>
      </c>
      <c r="AG197" s="80" t="s">
        <v>52</v>
      </c>
      <c r="AH197" s="80" t="s">
        <v>52</v>
      </c>
      <c r="AI197" s="80" t="s">
        <v>52</v>
      </c>
      <c r="AJ197" s="80" t="s">
        <v>52</v>
      </c>
      <c r="AK197" s="37">
        <v>1819</v>
      </c>
      <c r="AL197" s="80" t="s">
        <v>52</v>
      </c>
      <c r="AM197" s="80" t="s">
        <v>52</v>
      </c>
      <c r="AN197" s="80" t="s">
        <v>52</v>
      </c>
      <c r="AO197" s="80" t="s">
        <v>52</v>
      </c>
      <c r="AP197" s="37">
        <v>1900</v>
      </c>
      <c r="AQ197" s="80" t="s">
        <v>52</v>
      </c>
      <c r="AR197" s="80" t="s">
        <v>52</v>
      </c>
      <c r="AS197" s="80" t="s">
        <v>52</v>
      </c>
      <c r="AT197" s="80" t="s">
        <v>52</v>
      </c>
      <c r="AU197" s="37">
        <v>2054</v>
      </c>
      <c r="AV197" s="80" t="s">
        <v>52</v>
      </c>
      <c r="AW197" s="80" t="s">
        <v>52</v>
      </c>
      <c r="AX197" s="80" t="s">
        <v>52</v>
      </c>
      <c r="AY197" s="80" t="s">
        <v>52</v>
      </c>
      <c r="AZ197" s="37">
        <v>2012</v>
      </c>
      <c r="BA197" s="80" t="s">
        <v>52</v>
      </c>
      <c r="BB197" s="80" t="s">
        <v>52</v>
      </c>
      <c r="BC197" s="80" t="s">
        <v>52</v>
      </c>
      <c r="BD197" s="80" t="s">
        <v>52</v>
      </c>
      <c r="BE197" s="37">
        <v>2095</v>
      </c>
    </row>
    <row r="198" spans="1:57" ht="11.25" customHeight="1">
      <c r="A198" s="71" t="s">
        <v>139</v>
      </c>
      <c r="B198" s="24"/>
      <c r="C198" s="73"/>
      <c r="D198" s="73"/>
      <c r="E198" s="73"/>
      <c r="F198" s="73"/>
      <c r="G198" s="24">
        <f>G197/G176</f>
        <v>0.46622865598567986</v>
      </c>
      <c r="H198" s="73"/>
      <c r="I198" s="73"/>
      <c r="J198" s="73"/>
      <c r="K198" s="73"/>
      <c r="L198" s="24">
        <f>L197/L176</f>
        <v>0.4031680181029606</v>
      </c>
      <c r="M198" s="73"/>
      <c r="N198" s="73"/>
      <c r="O198" s="73"/>
      <c r="P198" s="73"/>
      <c r="Q198" s="24">
        <f>Q197/Q176</f>
        <v>0.40547216416492493</v>
      </c>
      <c r="R198" s="73"/>
      <c r="S198" s="73"/>
      <c r="T198" s="73"/>
      <c r="U198" s="73"/>
      <c r="V198" s="24">
        <f>V197/V176</f>
        <v>0.40253872633390708</v>
      </c>
      <c r="W198" s="73"/>
      <c r="X198" s="73"/>
      <c r="Y198" s="73"/>
      <c r="Z198" s="73"/>
      <c r="AA198" s="24">
        <f>AA197/AA176</f>
        <v>0.41339092872570193</v>
      </c>
      <c r="AB198" s="73"/>
      <c r="AC198" s="73"/>
      <c r="AD198" s="73"/>
      <c r="AE198" s="73"/>
      <c r="AF198" s="24">
        <v>0.41826708351942832</v>
      </c>
      <c r="AG198" s="73"/>
      <c r="AH198" s="73"/>
      <c r="AI198" s="73"/>
      <c r="AJ198" s="73"/>
      <c r="AK198" s="24">
        <v>0.42135742413713229</v>
      </c>
      <c r="AL198" s="73"/>
      <c r="AM198" s="73"/>
      <c r="AN198" s="73"/>
      <c r="AO198" s="73"/>
      <c r="AP198" s="24">
        <v>0.43113228953936916</v>
      </c>
      <c r="AQ198" s="73"/>
      <c r="AR198" s="73"/>
      <c r="AS198" s="73"/>
      <c r="AT198" s="73"/>
      <c r="AU198" s="24">
        <v>0.46862879306411132</v>
      </c>
      <c r="AV198" s="73"/>
      <c r="AW198" s="73"/>
      <c r="AX198" s="73"/>
      <c r="AY198" s="73"/>
      <c r="AZ198" s="24">
        <v>0.47408105560791708</v>
      </c>
      <c r="BA198" s="73"/>
      <c r="BB198" s="73"/>
      <c r="BC198" s="73"/>
      <c r="BD198" s="73"/>
      <c r="BE198" s="24">
        <v>0.49928503336510965</v>
      </c>
    </row>
    <row r="199" spans="1:57" ht="11.25" customHeight="1">
      <c r="A199" s="40" t="s">
        <v>76</v>
      </c>
      <c r="B199" s="41"/>
      <c r="C199" s="42"/>
      <c r="D199" s="42"/>
      <c r="E199" s="42"/>
      <c r="F199" s="42"/>
      <c r="G199" s="41"/>
      <c r="H199" s="42"/>
      <c r="I199" s="42"/>
      <c r="J199" s="42"/>
      <c r="K199" s="42"/>
      <c r="L199" s="41"/>
      <c r="M199" s="42"/>
      <c r="N199" s="42"/>
      <c r="O199" s="42"/>
      <c r="P199" s="42"/>
      <c r="Q199" s="41"/>
      <c r="R199" s="42"/>
      <c r="S199" s="42"/>
      <c r="T199" s="42"/>
      <c r="U199" s="42"/>
      <c r="V199" s="41"/>
      <c r="W199" s="42"/>
      <c r="X199" s="42"/>
      <c r="Y199" s="42"/>
      <c r="Z199" s="42"/>
      <c r="AA199" s="41"/>
      <c r="AB199" s="42"/>
      <c r="AC199" s="42"/>
      <c r="AD199" s="42"/>
      <c r="AE199" s="42"/>
      <c r="AF199" s="41"/>
      <c r="AG199" s="42"/>
      <c r="AH199" s="42"/>
      <c r="AI199" s="42"/>
      <c r="AJ199" s="42"/>
      <c r="AK199" s="41"/>
      <c r="AL199" s="42"/>
      <c r="AM199" s="42"/>
      <c r="AN199" s="42"/>
      <c r="AO199" s="42"/>
      <c r="AP199" s="41"/>
      <c r="AQ199" s="42"/>
      <c r="AR199" s="42"/>
      <c r="AS199" s="42"/>
      <c r="AT199" s="42"/>
      <c r="AU199" s="41"/>
      <c r="AV199" s="42"/>
      <c r="AW199" s="42"/>
      <c r="AX199" s="42"/>
      <c r="AY199" s="42"/>
      <c r="AZ199" s="41"/>
      <c r="BA199" s="42"/>
      <c r="BB199" s="42"/>
      <c r="BC199" s="42"/>
      <c r="BD199" s="42"/>
      <c r="BE199" s="41"/>
    </row>
    <row r="200" spans="1:57" s="36" customFormat="1">
      <c r="A200" s="69" t="s">
        <v>11</v>
      </c>
      <c r="B200" s="37">
        <v>941</v>
      </c>
      <c r="C200" s="70">
        <v>218</v>
      </c>
      <c r="D200" s="70">
        <v>211</v>
      </c>
      <c r="E200" s="70">
        <v>214</v>
      </c>
      <c r="F200" s="70">
        <f>G200-E200-D200-C200</f>
        <v>209</v>
      </c>
      <c r="G200" s="37">
        <v>852</v>
      </c>
      <c r="H200" s="70">
        <v>211</v>
      </c>
      <c r="I200" s="70">
        <v>205</v>
      </c>
      <c r="J200" s="70">
        <v>184</v>
      </c>
      <c r="K200" s="70">
        <f>L200-J200-I200-H200</f>
        <v>194</v>
      </c>
      <c r="L200" s="37">
        <v>794</v>
      </c>
      <c r="M200" s="70">
        <v>170</v>
      </c>
      <c r="N200" s="70">
        <v>171</v>
      </c>
      <c r="O200" s="70">
        <v>171</v>
      </c>
      <c r="P200" s="70">
        <f>Q200-O200-N200-M200</f>
        <v>178</v>
      </c>
      <c r="Q200" s="37">
        <v>690</v>
      </c>
      <c r="R200" s="70">
        <v>162</v>
      </c>
      <c r="S200" s="70">
        <v>171</v>
      </c>
      <c r="T200" s="70">
        <v>180</v>
      </c>
      <c r="U200" s="70">
        <f>V200-T200-S200-R200</f>
        <v>175</v>
      </c>
      <c r="V200" s="37">
        <v>688</v>
      </c>
      <c r="W200" s="70">
        <v>178</v>
      </c>
      <c r="X200" s="70">
        <v>178</v>
      </c>
      <c r="Y200" s="70">
        <v>185</v>
      </c>
      <c r="Z200" s="70">
        <f>AA200-Y200-X200-W200</f>
        <v>189</v>
      </c>
      <c r="AA200" s="37">
        <v>730</v>
      </c>
      <c r="AB200" s="70">
        <v>167</v>
      </c>
      <c r="AC200" s="70">
        <v>168</v>
      </c>
      <c r="AD200" s="70">
        <v>174</v>
      </c>
      <c r="AE200" s="70">
        <f>AF200-AD200-AC200-AB200</f>
        <v>174</v>
      </c>
      <c r="AF200" s="37">
        <v>683</v>
      </c>
      <c r="AG200" s="70">
        <v>168</v>
      </c>
      <c r="AH200" s="70">
        <v>172</v>
      </c>
      <c r="AI200" s="70">
        <v>178</v>
      </c>
      <c r="AJ200" s="70">
        <v>170</v>
      </c>
      <c r="AK200" s="37">
        <v>688</v>
      </c>
      <c r="AL200" s="70">
        <v>176</v>
      </c>
      <c r="AM200" s="70">
        <v>180</v>
      </c>
      <c r="AN200" s="70">
        <v>184</v>
      </c>
      <c r="AO200" s="70">
        <v>185</v>
      </c>
      <c r="AP200" s="37">
        <v>725</v>
      </c>
      <c r="AQ200" s="70">
        <v>183</v>
      </c>
      <c r="AR200" s="70">
        <v>185</v>
      </c>
      <c r="AS200" s="70">
        <v>188</v>
      </c>
      <c r="AT200" s="70">
        <v>161</v>
      </c>
      <c r="AU200" s="37">
        <v>717</v>
      </c>
      <c r="AV200" s="70">
        <v>180</v>
      </c>
      <c r="AW200" s="70">
        <v>177</v>
      </c>
      <c r="AX200" s="70">
        <v>186</v>
      </c>
      <c r="AY200" s="70">
        <v>185</v>
      </c>
      <c r="AZ200" s="37">
        <v>728</v>
      </c>
      <c r="BA200" s="70">
        <v>204</v>
      </c>
      <c r="BB200" s="70">
        <v>211</v>
      </c>
      <c r="BC200" s="70">
        <v>218</v>
      </c>
      <c r="BD200" s="70">
        <v>217</v>
      </c>
      <c r="BE200" s="37">
        <v>850</v>
      </c>
    </row>
    <row r="201" spans="1:57" ht="9.75" customHeight="1">
      <c r="A201" s="71" t="s">
        <v>7</v>
      </c>
      <c r="B201" s="24"/>
      <c r="C201" s="72"/>
      <c r="D201" s="72">
        <f>D200/C200-1</f>
        <v>-3.2110091743119296E-2</v>
      </c>
      <c r="E201" s="72">
        <f>E200/D200-1</f>
        <v>1.4218009478673022E-2</v>
      </c>
      <c r="F201" s="72">
        <f>F200/E200-1</f>
        <v>-2.3364485981308358E-2</v>
      </c>
      <c r="G201" s="24"/>
      <c r="H201" s="72">
        <f>H200/F200-1</f>
        <v>9.5693779904306719E-3</v>
      </c>
      <c r="I201" s="72">
        <f>I200/H200-1</f>
        <v>-2.8436018957345932E-2</v>
      </c>
      <c r="J201" s="72">
        <f>J200/I200-1</f>
        <v>-0.10243902439024388</v>
      </c>
      <c r="K201" s="72">
        <f>K200/J200-1</f>
        <v>5.4347826086956541E-2</v>
      </c>
      <c r="L201" s="24"/>
      <c r="M201" s="72">
        <f>M200/K200-1</f>
        <v>-0.12371134020618557</v>
      </c>
      <c r="N201" s="72">
        <f>N200/M200-1</f>
        <v>5.8823529411764497E-3</v>
      </c>
      <c r="O201" s="72">
        <f>O200/N200-1</f>
        <v>0</v>
      </c>
      <c r="P201" s="72">
        <f>P200/O200-1</f>
        <v>4.0935672514619936E-2</v>
      </c>
      <c r="Q201" s="24"/>
      <c r="R201" s="72">
        <f>R200/P200-1</f>
        <v>-8.98876404494382E-2</v>
      </c>
      <c r="S201" s="72">
        <f>S200/R200-1</f>
        <v>5.555555555555558E-2</v>
      </c>
      <c r="T201" s="72">
        <f>T200/S200-1</f>
        <v>5.2631578947368363E-2</v>
      </c>
      <c r="U201" s="72">
        <f>U200/T200-1</f>
        <v>-2.777777777777779E-2</v>
      </c>
      <c r="V201" s="24"/>
      <c r="W201" s="72">
        <f>W200/U200-1</f>
        <v>1.7142857142857126E-2</v>
      </c>
      <c r="X201" s="72">
        <f>X200/W200-1</f>
        <v>0</v>
      </c>
      <c r="Y201" s="72">
        <f>Y200/X200-1</f>
        <v>3.9325842696629199E-2</v>
      </c>
      <c r="Z201" s="72">
        <f>Z200/Y200-1</f>
        <v>2.1621621621621623E-2</v>
      </c>
      <c r="AA201" s="24"/>
      <c r="AB201" s="72">
        <f>AB200/Z200-1</f>
        <v>-0.1164021164021164</v>
      </c>
      <c r="AC201" s="72">
        <f>AC200/AB200-1</f>
        <v>5.9880239520957446E-3</v>
      </c>
      <c r="AD201" s="72">
        <f>AD200/AC200-1</f>
        <v>3.5714285714285809E-2</v>
      </c>
      <c r="AE201" s="72">
        <f>AE200/AD200-1</f>
        <v>0</v>
      </c>
      <c r="AF201" s="24"/>
      <c r="AG201" s="72">
        <v>-3.4482758620689613E-2</v>
      </c>
      <c r="AH201" s="72">
        <v>2.3809523809523725E-2</v>
      </c>
      <c r="AI201" s="72">
        <v>3.488372093023262E-2</v>
      </c>
      <c r="AJ201" s="72">
        <v>-4.49438202247191E-2</v>
      </c>
      <c r="AK201" s="24"/>
      <c r="AL201" s="72">
        <v>3.529411764705892E-2</v>
      </c>
      <c r="AM201" s="72">
        <v>2.2727272727272707E-2</v>
      </c>
      <c r="AN201" s="72">
        <v>2.2222222222222143E-2</v>
      </c>
      <c r="AO201" s="72">
        <v>5.4347826086955653E-3</v>
      </c>
      <c r="AP201" s="24"/>
      <c r="AQ201" s="72">
        <v>-1.0810810810810811E-2</v>
      </c>
      <c r="AR201" s="72">
        <v>1.0928961748633892E-2</v>
      </c>
      <c r="AS201" s="72">
        <v>1.6216216216216273E-2</v>
      </c>
      <c r="AT201" s="72">
        <v>-0.1436170212765957</v>
      </c>
      <c r="AU201" s="24"/>
      <c r="AV201" s="72">
        <v>0.11801242236024834</v>
      </c>
      <c r="AW201" s="72">
        <v>-1.6666666666666718E-2</v>
      </c>
      <c r="AX201" s="72">
        <v>5.0847457627118731E-2</v>
      </c>
      <c r="AY201" s="72">
        <v>-5.3763440860215006E-3</v>
      </c>
      <c r="AZ201" s="24"/>
      <c r="BA201" s="72">
        <v>0.10270270270270276</v>
      </c>
      <c r="BB201" s="72">
        <v>3.4313725490196179E-2</v>
      </c>
      <c r="BC201" s="72">
        <v>3.3175355450236976E-2</v>
      </c>
      <c r="BD201" s="72">
        <v>-4.5871559633027248E-3</v>
      </c>
      <c r="BE201" s="24"/>
    </row>
    <row r="202" spans="1:57" ht="10.5" customHeight="1">
      <c r="A202" s="71" t="s">
        <v>8</v>
      </c>
      <c r="B202" s="24"/>
      <c r="C202" s="73"/>
      <c r="D202" s="73"/>
      <c r="E202" s="73"/>
      <c r="F202" s="73"/>
      <c r="G202" s="24">
        <f t="shared" ref="G202:N202" si="136">G200/B200-1</f>
        <v>-9.4580233793836399E-2</v>
      </c>
      <c r="H202" s="73">
        <f t="shared" si="136"/>
        <v>-3.2110091743119296E-2</v>
      </c>
      <c r="I202" s="73">
        <f t="shared" si="136"/>
        <v>-2.8436018957345932E-2</v>
      </c>
      <c r="J202" s="73">
        <f t="shared" si="136"/>
        <v>-0.14018691588785048</v>
      </c>
      <c r="K202" s="73">
        <f t="shared" si="136"/>
        <v>-7.1770334928229707E-2</v>
      </c>
      <c r="L202" s="24">
        <f t="shared" si="136"/>
        <v>-6.8075117370892002E-2</v>
      </c>
      <c r="M202" s="73">
        <f t="shared" si="136"/>
        <v>-0.19431279620853081</v>
      </c>
      <c r="N202" s="73">
        <f t="shared" si="136"/>
        <v>-0.1658536585365854</v>
      </c>
      <c r="O202" s="73">
        <f t="shared" ref="O202:Y202" si="137">O200/J200-1</f>
        <v>-7.0652173913043459E-2</v>
      </c>
      <c r="P202" s="73">
        <f t="shared" si="137"/>
        <v>-8.2474226804123751E-2</v>
      </c>
      <c r="Q202" s="24">
        <f t="shared" si="137"/>
        <v>-0.13098236775818639</v>
      </c>
      <c r="R202" s="73">
        <f t="shared" si="137"/>
        <v>-4.705882352941182E-2</v>
      </c>
      <c r="S202" s="73">
        <f t="shared" si="137"/>
        <v>0</v>
      </c>
      <c r="T202" s="73">
        <f t="shared" si="137"/>
        <v>5.2631578947368363E-2</v>
      </c>
      <c r="U202" s="73">
        <f t="shared" si="137"/>
        <v>-1.6853932584269704E-2</v>
      </c>
      <c r="V202" s="24">
        <f t="shared" si="137"/>
        <v>-2.8985507246376274E-3</v>
      </c>
      <c r="W202" s="73">
        <f t="shared" si="137"/>
        <v>9.8765432098765427E-2</v>
      </c>
      <c r="X202" s="73">
        <f t="shared" si="137"/>
        <v>4.0935672514619936E-2</v>
      </c>
      <c r="Y202" s="73">
        <f t="shared" si="137"/>
        <v>2.7777777777777679E-2</v>
      </c>
      <c r="Z202" s="73">
        <f t="shared" ref="Z202:AE202" si="138">Z200/U200-1</f>
        <v>8.0000000000000071E-2</v>
      </c>
      <c r="AA202" s="24">
        <f t="shared" si="138"/>
        <v>6.1046511627907085E-2</v>
      </c>
      <c r="AB202" s="73">
        <f t="shared" si="138"/>
        <v>-6.1797752808988804E-2</v>
      </c>
      <c r="AC202" s="73">
        <f t="shared" si="138"/>
        <v>-5.6179775280898903E-2</v>
      </c>
      <c r="AD202" s="73">
        <f t="shared" si="138"/>
        <v>-5.9459459459459407E-2</v>
      </c>
      <c r="AE202" s="73">
        <f t="shared" si="138"/>
        <v>-7.9365079365079416E-2</v>
      </c>
      <c r="AF202" s="24">
        <v>-6.438356164383563E-2</v>
      </c>
      <c r="AG202" s="73">
        <v>5.9880239520957446E-3</v>
      </c>
      <c r="AH202" s="73">
        <v>2.3809523809523725E-2</v>
      </c>
      <c r="AI202" s="73">
        <v>2.2988505747126409E-2</v>
      </c>
      <c r="AJ202" s="73">
        <v>-2.2988505747126409E-2</v>
      </c>
      <c r="AK202" s="24">
        <v>7.3206442166910968E-3</v>
      </c>
      <c r="AL202" s="73">
        <v>4.7619047619047672E-2</v>
      </c>
      <c r="AM202" s="73">
        <v>4.6511627906976827E-2</v>
      </c>
      <c r="AN202" s="73">
        <v>3.3707865168539408E-2</v>
      </c>
      <c r="AO202" s="73">
        <v>8.8235294117646967E-2</v>
      </c>
      <c r="AP202" s="24">
        <v>5.3779069767441845E-2</v>
      </c>
      <c r="AQ202" s="73">
        <v>3.9772727272727293E-2</v>
      </c>
      <c r="AR202" s="73">
        <v>2.7777777777777679E-2</v>
      </c>
      <c r="AS202" s="73">
        <v>2.1739130434782705E-2</v>
      </c>
      <c r="AT202" s="73">
        <v>-0.12972972972972974</v>
      </c>
      <c r="AU202" s="24">
        <v>-1.1034482758620734E-2</v>
      </c>
      <c r="AV202" s="73">
        <v>-1.6393442622950838E-2</v>
      </c>
      <c r="AW202" s="73">
        <v>-4.3243243243243246E-2</v>
      </c>
      <c r="AX202" s="73">
        <v>-1.0638297872340385E-2</v>
      </c>
      <c r="AY202" s="73">
        <v>0.14906832298136652</v>
      </c>
      <c r="AZ202" s="24">
        <v>1.5341701534170138E-2</v>
      </c>
      <c r="BA202" s="73">
        <v>0.1333333333333333</v>
      </c>
      <c r="BB202" s="73">
        <v>0.19209039548022599</v>
      </c>
      <c r="BC202" s="73">
        <v>0.17204301075268824</v>
      </c>
      <c r="BD202" s="73">
        <v>0.17297297297297298</v>
      </c>
      <c r="BE202" s="24">
        <v>0.16758241758241765</v>
      </c>
    </row>
    <row r="203" spans="1:57" ht="11.25" customHeight="1">
      <c r="A203" s="69" t="s">
        <v>97</v>
      </c>
      <c r="B203" s="37">
        <v>1293</v>
      </c>
      <c r="C203" s="80" t="s">
        <v>52</v>
      </c>
      <c r="D203" s="80" t="s">
        <v>52</v>
      </c>
      <c r="E203" s="80" t="s">
        <v>52</v>
      </c>
      <c r="F203" s="80" t="s">
        <v>52</v>
      </c>
      <c r="G203" s="37">
        <v>1202</v>
      </c>
      <c r="H203" s="70">
        <v>278</v>
      </c>
      <c r="I203" s="70">
        <v>264</v>
      </c>
      <c r="J203" s="70">
        <v>255</v>
      </c>
      <c r="K203" s="70">
        <f>L203-J203-I203-H203</f>
        <v>297</v>
      </c>
      <c r="L203" s="37">
        <v>1094</v>
      </c>
      <c r="M203" s="70">
        <v>277</v>
      </c>
      <c r="N203" s="70">
        <v>250</v>
      </c>
      <c r="O203" s="70">
        <v>256</v>
      </c>
      <c r="P203" s="70">
        <f>Q203-O203-N203-M203</f>
        <v>296</v>
      </c>
      <c r="Q203" s="37">
        <v>1079</v>
      </c>
      <c r="R203" s="70">
        <v>284</v>
      </c>
      <c r="S203" s="70">
        <v>291</v>
      </c>
      <c r="T203" s="70">
        <v>284</v>
      </c>
      <c r="U203" s="70">
        <f>V203-T203-S203-R203</f>
        <v>217</v>
      </c>
      <c r="V203" s="37">
        <v>1076</v>
      </c>
      <c r="W203" s="70">
        <v>267</v>
      </c>
      <c r="X203" s="70">
        <v>267</v>
      </c>
      <c r="Y203" s="70">
        <v>274</v>
      </c>
      <c r="Z203" s="70">
        <f>AA203-Y203-X203-W203</f>
        <v>228</v>
      </c>
      <c r="AA203" s="37">
        <v>1036</v>
      </c>
      <c r="AB203" s="70">
        <v>270</v>
      </c>
      <c r="AC203" s="70">
        <v>242</v>
      </c>
      <c r="AD203" s="70">
        <v>243</v>
      </c>
      <c r="AE203" s="70">
        <f>AF203-AD203-AC203-AB203</f>
        <v>225</v>
      </c>
      <c r="AF203" s="37">
        <v>980</v>
      </c>
      <c r="AG203" s="70">
        <v>223</v>
      </c>
      <c r="AH203" s="70">
        <v>228</v>
      </c>
      <c r="AI203" s="70">
        <v>227</v>
      </c>
      <c r="AJ203" s="70">
        <v>217</v>
      </c>
      <c r="AK203" s="37">
        <v>895</v>
      </c>
      <c r="AL203" s="70">
        <v>227</v>
      </c>
      <c r="AM203" s="70">
        <v>226</v>
      </c>
      <c r="AN203" s="70">
        <v>232</v>
      </c>
      <c r="AO203" s="70">
        <v>227</v>
      </c>
      <c r="AP203" s="37">
        <v>912</v>
      </c>
      <c r="AQ203" s="70">
        <v>230</v>
      </c>
      <c r="AR203" s="70">
        <v>217</v>
      </c>
      <c r="AS203" s="70">
        <v>225</v>
      </c>
      <c r="AT203" s="70">
        <v>226</v>
      </c>
      <c r="AU203" s="37">
        <v>898</v>
      </c>
      <c r="AV203" s="70">
        <v>224</v>
      </c>
      <c r="AW203" s="70">
        <v>220</v>
      </c>
      <c r="AX203" s="70">
        <v>224</v>
      </c>
      <c r="AY203" s="70">
        <v>223</v>
      </c>
      <c r="AZ203" s="37">
        <v>891</v>
      </c>
      <c r="BA203" s="70">
        <v>228</v>
      </c>
      <c r="BB203" s="70">
        <v>232</v>
      </c>
      <c r="BC203" s="70">
        <v>233</v>
      </c>
      <c r="BD203" s="70">
        <v>219</v>
      </c>
      <c r="BE203" s="37">
        <v>912</v>
      </c>
    </row>
    <row r="204" spans="1:57" ht="11.25" customHeight="1">
      <c r="A204" s="71" t="s">
        <v>7</v>
      </c>
      <c r="B204" s="24"/>
      <c r="C204" s="73"/>
      <c r="D204" s="73"/>
      <c r="E204" s="73"/>
      <c r="F204" s="73"/>
      <c r="G204" s="24"/>
      <c r="H204" s="72"/>
      <c r="I204" s="72">
        <f>I203/H203-1</f>
        <v>-5.0359712230215847E-2</v>
      </c>
      <c r="J204" s="72">
        <f>J203/I203-1</f>
        <v>-3.4090909090909061E-2</v>
      </c>
      <c r="K204" s="72">
        <f>K203/J203-1</f>
        <v>0.16470588235294126</v>
      </c>
      <c r="L204" s="24"/>
      <c r="M204" s="72">
        <f>M203/K203-1</f>
        <v>-6.7340067340067367E-2</v>
      </c>
      <c r="N204" s="72">
        <f>N203/M203-1</f>
        <v>-9.7472924187725685E-2</v>
      </c>
      <c r="O204" s="72">
        <f>O203/N203-1</f>
        <v>2.4000000000000021E-2</v>
      </c>
      <c r="P204" s="72">
        <f>P203/O203-1</f>
        <v>0.15625</v>
      </c>
      <c r="Q204" s="24"/>
      <c r="R204" s="72">
        <f>R203/P203-1</f>
        <v>-4.0540540540540571E-2</v>
      </c>
      <c r="S204" s="72">
        <f>S203/R203-1</f>
        <v>2.464788732394374E-2</v>
      </c>
      <c r="T204" s="72">
        <f>T203/S203-1</f>
        <v>-2.4054982817869441E-2</v>
      </c>
      <c r="U204" s="72">
        <f>U203/T203-1</f>
        <v>-0.2359154929577465</v>
      </c>
      <c r="V204" s="24"/>
      <c r="W204" s="72">
        <f>W203/U203-1</f>
        <v>0.23041474654377869</v>
      </c>
      <c r="X204" s="72">
        <f>X203/W203-1</f>
        <v>0</v>
      </c>
      <c r="Y204" s="72">
        <f>Y203/X203-1</f>
        <v>2.621722846441954E-2</v>
      </c>
      <c r="Z204" s="72">
        <f>Z203/Y203-1</f>
        <v>-0.16788321167883213</v>
      </c>
      <c r="AA204" s="24"/>
      <c r="AB204" s="72">
        <f>AB203/Z203-1</f>
        <v>0.18421052631578938</v>
      </c>
      <c r="AC204" s="72">
        <f>AC203/AB203-1</f>
        <v>-0.10370370370370374</v>
      </c>
      <c r="AD204" s="72">
        <f>AD203/AC203-1</f>
        <v>4.1322314049587749E-3</v>
      </c>
      <c r="AE204" s="72">
        <f>AE203/AD203-1</f>
        <v>-7.407407407407407E-2</v>
      </c>
      <c r="AF204" s="24"/>
      <c r="AG204" s="72">
        <v>-8.8888888888888351E-3</v>
      </c>
      <c r="AH204" s="72">
        <v>2.2421524663677195E-2</v>
      </c>
      <c r="AI204" s="72">
        <v>-4.3859649122807154E-3</v>
      </c>
      <c r="AJ204" s="72">
        <v>-4.4052863436123357E-2</v>
      </c>
      <c r="AK204" s="24"/>
      <c r="AL204" s="72">
        <v>4.6082949308755783E-2</v>
      </c>
      <c r="AM204" s="72">
        <v>-4.405286343612369E-3</v>
      </c>
      <c r="AN204" s="72">
        <v>2.6548672566371723E-2</v>
      </c>
      <c r="AO204" s="72">
        <v>-2.155172413793105E-2</v>
      </c>
      <c r="AP204" s="24"/>
      <c r="AQ204" s="72">
        <v>1.3215859030837107E-2</v>
      </c>
      <c r="AR204" s="72">
        <v>-5.6521739130434789E-2</v>
      </c>
      <c r="AS204" s="72">
        <v>3.6866359447004671E-2</v>
      </c>
      <c r="AT204" s="72">
        <v>4.4444444444444731E-3</v>
      </c>
      <c r="AU204" s="24"/>
      <c r="AV204" s="72">
        <v>-8.8495575221239076E-3</v>
      </c>
      <c r="AW204" s="72">
        <v>-1.7857142857142905E-2</v>
      </c>
      <c r="AX204" s="72">
        <v>1.8181818181818077E-2</v>
      </c>
      <c r="AY204" s="72">
        <v>-4.4642857142856984E-3</v>
      </c>
      <c r="AZ204" s="24"/>
      <c r="BA204" s="72">
        <v>2.2421524663677195E-2</v>
      </c>
      <c r="BB204" s="72">
        <v>1.7543859649122862E-2</v>
      </c>
      <c r="BC204" s="72">
        <v>4.3103448275862988E-3</v>
      </c>
      <c r="BD204" s="72">
        <v>-6.0085836909871237E-2</v>
      </c>
      <c r="BE204" s="24"/>
    </row>
    <row r="205" spans="1:57" ht="10.5" customHeight="1">
      <c r="A205" s="71" t="s">
        <v>8</v>
      </c>
      <c r="B205" s="24"/>
      <c r="C205" s="73"/>
      <c r="D205" s="73"/>
      <c r="E205" s="73"/>
      <c r="F205" s="73"/>
      <c r="G205" s="24">
        <f>G203/B203-1</f>
        <v>-7.0378963650425397E-2</v>
      </c>
      <c r="H205" s="70"/>
      <c r="I205" s="70"/>
      <c r="J205" s="70"/>
      <c r="K205" s="70"/>
      <c r="L205" s="24">
        <f t="shared" ref="L205:Y205" si="139">L203/G203-1</f>
        <v>-8.9850249584026654E-2</v>
      </c>
      <c r="M205" s="73">
        <f t="shared" si="139"/>
        <v>-3.597122302158251E-3</v>
      </c>
      <c r="N205" s="73">
        <f t="shared" si="139"/>
        <v>-5.3030303030302983E-2</v>
      </c>
      <c r="O205" s="73">
        <f t="shared" si="139"/>
        <v>3.9215686274509665E-3</v>
      </c>
      <c r="P205" s="73">
        <f t="shared" si="139"/>
        <v>-3.3670033670033517E-3</v>
      </c>
      <c r="Q205" s="24">
        <f t="shared" si="139"/>
        <v>-1.3711151736745864E-2</v>
      </c>
      <c r="R205" s="73">
        <f t="shared" si="139"/>
        <v>2.5270758122743597E-2</v>
      </c>
      <c r="S205" s="73">
        <f t="shared" si="139"/>
        <v>0.16399999999999992</v>
      </c>
      <c r="T205" s="73">
        <f t="shared" si="139"/>
        <v>0.109375</v>
      </c>
      <c r="U205" s="73">
        <f t="shared" si="139"/>
        <v>-0.26689189189189189</v>
      </c>
      <c r="V205" s="24">
        <f t="shared" si="139"/>
        <v>-2.780352177942591E-3</v>
      </c>
      <c r="W205" s="73">
        <f t="shared" si="139"/>
        <v>-5.9859154929577496E-2</v>
      </c>
      <c r="X205" s="73">
        <f t="shared" si="139"/>
        <v>-8.2474226804123751E-2</v>
      </c>
      <c r="Y205" s="73">
        <f t="shared" si="139"/>
        <v>-3.5211267605633756E-2</v>
      </c>
      <c r="Z205" s="73">
        <f t="shared" ref="Z205:AE205" si="140">Z203/U203-1</f>
        <v>5.0691244239631228E-2</v>
      </c>
      <c r="AA205" s="24">
        <f t="shared" si="140"/>
        <v>-3.7174721189591087E-2</v>
      </c>
      <c r="AB205" s="73">
        <f t="shared" si="140"/>
        <v>1.1235955056179803E-2</v>
      </c>
      <c r="AC205" s="73">
        <f t="shared" si="140"/>
        <v>-9.3632958801498134E-2</v>
      </c>
      <c r="AD205" s="73">
        <f t="shared" si="140"/>
        <v>-0.11313868613138689</v>
      </c>
      <c r="AE205" s="73">
        <f t="shared" si="140"/>
        <v>-1.3157894736842146E-2</v>
      </c>
      <c r="AF205" s="24">
        <v>-5.4054054054054057E-2</v>
      </c>
      <c r="AG205" s="73">
        <v>-0.17407407407407405</v>
      </c>
      <c r="AH205" s="73">
        <v>-5.7851239669421517E-2</v>
      </c>
      <c r="AI205" s="73">
        <v>-6.5843621399176988E-2</v>
      </c>
      <c r="AJ205" s="73">
        <v>-3.5555555555555562E-2</v>
      </c>
      <c r="AK205" s="24">
        <v>-8.6734693877551061E-2</v>
      </c>
      <c r="AL205" s="73">
        <v>1.7937219730941756E-2</v>
      </c>
      <c r="AM205" s="73">
        <v>-8.7719298245614308E-3</v>
      </c>
      <c r="AN205" s="73">
        <v>2.2026431718061623E-2</v>
      </c>
      <c r="AO205" s="73">
        <v>4.6082949308755783E-2</v>
      </c>
      <c r="AP205" s="24">
        <v>1.8994413407821265E-2</v>
      </c>
      <c r="AQ205" s="73">
        <v>1.3215859030837107E-2</v>
      </c>
      <c r="AR205" s="73">
        <v>-3.9823008849557473E-2</v>
      </c>
      <c r="AS205" s="73">
        <v>-3.0172413793103425E-2</v>
      </c>
      <c r="AT205" s="73">
        <v>-4.405286343612369E-3</v>
      </c>
      <c r="AU205" s="24">
        <v>-1.5350877192982448E-2</v>
      </c>
      <c r="AV205" s="73">
        <v>-2.6086956521739091E-2</v>
      </c>
      <c r="AW205" s="73">
        <v>1.3824884792626779E-2</v>
      </c>
      <c r="AX205" s="73">
        <v>-4.4444444444444731E-3</v>
      </c>
      <c r="AY205" s="73">
        <v>-1.3274336283185861E-2</v>
      </c>
      <c r="AZ205" s="24">
        <v>-7.7951002227171218E-3</v>
      </c>
      <c r="BA205" s="73">
        <v>1.7857142857142794E-2</v>
      </c>
      <c r="BB205" s="73">
        <v>5.4545454545454453E-2</v>
      </c>
      <c r="BC205" s="73">
        <v>4.0178571428571397E-2</v>
      </c>
      <c r="BD205" s="73">
        <v>-1.7937219730941756E-2</v>
      </c>
      <c r="BE205" s="24">
        <v>2.3569023569023573E-2</v>
      </c>
    </row>
    <row r="206" spans="1:57" ht="12.6" customHeight="1">
      <c r="A206" s="69" t="s">
        <v>279</v>
      </c>
      <c r="B206" s="37">
        <v>39</v>
      </c>
      <c r="C206" s="80" t="s">
        <v>52</v>
      </c>
      <c r="D206" s="80" t="s">
        <v>52</v>
      </c>
      <c r="E206" s="80" t="s">
        <v>52</v>
      </c>
      <c r="F206" s="80" t="s">
        <v>52</v>
      </c>
      <c r="G206" s="37">
        <v>96</v>
      </c>
      <c r="H206" s="186">
        <v>-20</v>
      </c>
      <c r="I206" s="186">
        <v>4</v>
      </c>
      <c r="J206" s="186">
        <v>-38</v>
      </c>
      <c r="K206" s="186">
        <f>L206-J206-I206-H206</f>
        <v>256</v>
      </c>
      <c r="L206" s="37">
        <v>202</v>
      </c>
      <c r="M206" s="186">
        <v>-25</v>
      </c>
      <c r="N206" s="186">
        <v>-13</v>
      </c>
      <c r="O206" s="186">
        <v>-59</v>
      </c>
      <c r="P206" s="186">
        <f>Q206-O206-N206-M206</f>
        <v>-61</v>
      </c>
      <c r="Q206" s="178">
        <v>-158</v>
      </c>
      <c r="R206" s="186">
        <v>250</v>
      </c>
      <c r="S206" s="186">
        <v>-62</v>
      </c>
      <c r="T206" s="186">
        <v>-106</v>
      </c>
      <c r="U206" s="186">
        <f>V206-T206-S206-R206</f>
        <v>57</v>
      </c>
      <c r="V206" s="37">
        <v>139</v>
      </c>
      <c r="W206" s="186">
        <v>-22</v>
      </c>
      <c r="X206" s="186">
        <v>16</v>
      </c>
      <c r="Y206" s="186">
        <v>-7</v>
      </c>
      <c r="Z206" s="186">
        <f>AA206-Y206-X206-W206</f>
        <v>-115</v>
      </c>
      <c r="AA206" s="178">
        <v>-128</v>
      </c>
      <c r="AB206" s="186">
        <v>-73</v>
      </c>
      <c r="AC206" s="186">
        <v>-17</v>
      </c>
      <c r="AD206" s="186">
        <v>-8</v>
      </c>
      <c r="AE206" s="186">
        <f>AF206-AD206-AC206-AB206</f>
        <v>20</v>
      </c>
      <c r="AF206" s="178">
        <v>-78</v>
      </c>
      <c r="AG206" s="186">
        <v>-8</v>
      </c>
      <c r="AH206" s="186">
        <v>14</v>
      </c>
      <c r="AI206" s="186">
        <v>-25</v>
      </c>
      <c r="AJ206" s="186">
        <v>-4</v>
      </c>
      <c r="AK206" s="178">
        <v>-23</v>
      </c>
      <c r="AL206" s="186">
        <v>-17</v>
      </c>
      <c r="AM206" s="186">
        <v>-139</v>
      </c>
      <c r="AN206" s="186">
        <v>-13</v>
      </c>
      <c r="AO206" s="186">
        <v>70</v>
      </c>
      <c r="AP206" s="178">
        <v>-99</v>
      </c>
      <c r="AQ206" s="186">
        <v>-9</v>
      </c>
      <c r="AR206" s="186">
        <v>-12</v>
      </c>
      <c r="AS206" s="186">
        <v>-26</v>
      </c>
      <c r="AT206" s="186">
        <v>34</v>
      </c>
      <c r="AU206" s="178">
        <v>-13</v>
      </c>
      <c r="AV206" s="186">
        <v>-4</v>
      </c>
      <c r="AW206" s="186">
        <v>-1</v>
      </c>
      <c r="AX206" s="186">
        <v>-24</v>
      </c>
      <c r="AY206" s="186">
        <v>6</v>
      </c>
      <c r="AZ206" s="178">
        <v>-23</v>
      </c>
      <c r="BA206" s="186">
        <v>18</v>
      </c>
      <c r="BB206" s="186">
        <v>89</v>
      </c>
      <c r="BC206" s="186">
        <v>-2</v>
      </c>
      <c r="BD206" s="186">
        <v>509</v>
      </c>
      <c r="BE206" s="178">
        <v>614</v>
      </c>
    </row>
    <row r="207" spans="1:57" ht="5.25" customHeight="1">
      <c r="A207" s="71"/>
      <c r="B207" s="24"/>
      <c r="C207" s="73"/>
      <c r="D207" s="73"/>
      <c r="E207" s="73"/>
      <c r="F207" s="73"/>
      <c r="G207" s="24"/>
      <c r="H207" s="72"/>
      <c r="I207" s="83"/>
      <c r="J207" s="83"/>
      <c r="K207" s="83"/>
      <c r="L207" s="24"/>
      <c r="M207" s="83"/>
      <c r="N207" s="72"/>
      <c r="O207" s="72"/>
      <c r="P207" s="72"/>
      <c r="Q207" s="24"/>
      <c r="R207" s="83"/>
      <c r="S207" s="83"/>
      <c r="T207" s="72"/>
      <c r="U207" s="83"/>
      <c r="V207" s="24"/>
      <c r="W207" s="83"/>
      <c r="X207" s="83"/>
      <c r="Y207" s="83"/>
      <c r="Z207" s="72"/>
      <c r="AA207" s="24"/>
      <c r="AB207" s="72"/>
      <c r="AC207" s="72"/>
      <c r="AD207" s="72"/>
      <c r="AE207" s="83"/>
      <c r="AF207" s="24"/>
      <c r="AG207" s="83"/>
      <c r="AH207" s="72"/>
      <c r="AI207" s="83"/>
      <c r="AJ207" s="83"/>
      <c r="AK207" s="24"/>
      <c r="AL207" s="83"/>
      <c r="AM207" s="72"/>
      <c r="AN207" s="72"/>
      <c r="AO207" s="83"/>
      <c r="AP207" s="24"/>
      <c r="AQ207" s="83"/>
      <c r="AR207" s="72"/>
      <c r="AS207" s="72"/>
      <c r="AT207" s="83"/>
      <c r="AU207" s="24"/>
      <c r="AV207" s="85"/>
      <c r="AW207" s="72"/>
      <c r="AX207" s="72"/>
      <c r="AY207" s="72"/>
      <c r="AZ207" s="24"/>
      <c r="BA207" s="72"/>
      <c r="BB207" s="72"/>
      <c r="BC207" s="85"/>
      <c r="BD207" s="72"/>
      <c r="BE207" s="24"/>
    </row>
    <row r="208" spans="1:57" s="36" customFormat="1" ht="10.5" customHeight="1">
      <c r="A208" s="69" t="s">
        <v>275</v>
      </c>
      <c r="B208" s="37">
        <v>1319</v>
      </c>
      <c r="C208" s="70">
        <v>373</v>
      </c>
      <c r="D208" s="70">
        <v>442</v>
      </c>
      <c r="E208" s="70">
        <v>428</v>
      </c>
      <c r="F208" s="70">
        <f>G208-E208-D208-C208</f>
        <v>232</v>
      </c>
      <c r="G208" s="37">
        <v>1475</v>
      </c>
      <c r="H208" s="70">
        <v>437</v>
      </c>
      <c r="I208" s="70">
        <v>434</v>
      </c>
      <c r="J208" s="70">
        <v>491</v>
      </c>
      <c r="K208" s="70">
        <f>L208-J208-I208-H208</f>
        <v>161</v>
      </c>
      <c r="L208" s="37">
        <v>1523</v>
      </c>
      <c r="M208" s="70">
        <v>490</v>
      </c>
      <c r="N208" s="70">
        <v>503</v>
      </c>
      <c r="O208" s="70">
        <v>556</v>
      </c>
      <c r="P208" s="70">
        <f>Q208-O208-N208-M208</f>
        <v>494</v>
      </c>
      <c r="Q208" s="37">
        <v>2043</v>
      </c>
      <c r="R208" s="70">
        <v>211</v>
      </c>
      <c r="S208" s="70">
        <v>517</v>
      </c>
      <c r="T208" s="70">
        <v>546</v>
      </c>
      <c r="U208" s="70">
        <f>V208-T208-S208-R208</f>
        <v>397</v>
      </c>
      <c r="V208" s="37">
        <v>1671</v>
      </c>
      <c r="W208" s="70">
        <v>539</v>
      </c>
      <c r="X208" s="70">
        <v>437</v>
      </c>
      <c r="Y208" s="70">
        <v>419</v>
      </c>
      <c r="Z208" s="70">
        <f>AA208-Y208-X208-W208</f>
        <v>564</v>
      </c>
      <c r="AA208" s="37">
        <v>1959</v>
      </c>
      <c r="AB208" s="70">
        <v>535</v>
      </c>
      <c r="AC208" s="70">
        <v>510</v>
      </c>
      <c r="AD208" s="70">
        <v>494</v>
      </c>
      <c r="AE208" s="70">
        <f>AF208-AD208-AC208-AB208</f>
        <v>459</v>
      </c>
      <c r="AF208" s="37">
        <v>1998</v>
      </c>
      <c r="AG208" s="70">
        <v>504</v>
      </c>
      <c r="AH208" s="70">
        <v>471</v>
      </c>
      <c r="AI208" s="70">
        <v>498</v>
      </c>
      <c r="AJ208" s="70">
        <v>507</v>
      </c>
      <c r="AK208" s="37">
        <v>1980</v>
      </c>
      <c r="AL208" s="70">
        <v>547</v>
      </c>
      <c r="AM208" s="70">
        <v>662</v>
      </c>
      <c r="AN208" s="70">
        <v>512</v>
      </c>
      <c r="AO208" s="70">
        <v>427</v>
      </c>
      <c r="AP208" s="37">
        <v>2148</v>
      </c>
      <c r="AQ208" s="70">
        <v>536</v>
      </c>
      <c r="AR208" s="70">
        <v>540</v>
      </c>
      <c r="AS208" s="70">
        <v>519</v>
      </c>
      <c r="AT208" s="70">
        <v>481</v>
      </c>
      <c r="AU208" s="37">
        <v>2076</v>
      </c>
      <c r="AV208" s="70">
        <v>513</v>
      </c>
      <c r="AW208" s="70">
        <v>496</v>
      </c>
      <c r="AX208" s="70">
        <v>492</v>
      </c>
      <c r="AY208" s="70">
        <v>470</v>
      </c>
      <c r="AZ208" s="37">
        <v>1971</v>
      </c>
      <c r="BA208" s="70">
        <v>473</v>
      </c>
      <c r="BB208" s="70">
        <v>387</v>
      </c>
      <c r="BC208" s="70">
        <v>451</v>
      </c>
      <c r="BD208" s="186">
        <v>-87</v>
      </c>
      <c r="BE208" s="37">
        <v>1224</v>
      </c>
    </row>
    <row r="209" spans="1:57" ht="12" customHeight="1">
      <c r="A209" s="71" t="s">
        <v>7</v>
      </c>
      <c r="B209" s="24"/>
      <c r="C209" s="72"/>
      <c r="D209" s="72">
        <f>D208/C208-1</f>
        <v>0.18498659517426264</v>
      </c>
      <c r="E209" s="72">
        <f>E208/D208-1</f>
        <v>-3.1674208144796379E-2</v>
      </c>
      <c r="F209" s="72">
        <f>F208/E208-1</f>
        <v>-0.45794392523364491</v>
      </c>
      <c r="G209" s="24"/>
      <c r="H209" s="72">
        <f>H208/F208-1</f>
        <v>0.88362068965517238</v>
      </c>
      <c r="I209" s="72">
        <f>I208/H208-1</f>
        <v>-6.8649885583523806E-3</v>
      </c>
      <c r="J209" s="72">
        <f>J208/I208-1</f>
        <v>0.13133640552995396</v>
      </c>
      <c r="K209" s="72">
        <f>K208/J208-1</f>
        <v>-0.67209775967413443</v>
      </c>
      <c r="L209" s="24"/>
      <c r="M209" s="72">
        <f>M208/K208-1</f>
        <v>2.0434782608695654</v>
      </c>
      <c r="N209" s="72">
        <f>N208/M208-1</f>
        <v>2.6530612244898055E-2</v>
      </c>
      <c r="O209" s="72">
        <f>O208/N208-1</f>
        <v>0.10536779324055656</v>
      </c>
      <c r="P209" s="72">
        <f>P208/O208-1</f>
        <v>-0.11151079136690645</v>
      </c>
      <c r="Q209" s="24"/>
      <c r="R209" s="72">
        <f>R208/P208-1</f>
        <v>-0.57287449392712553</v>
      </c>
      <c r="S209" s="72">
        <f>S208/R208-1</f>
        <v>1.4502369668246446</v>
      </c>
      <c r="T209" s="72">
        <f>T208/S208-1</f>
        <v>5.6092843326885911E-2</v>
      </c>
      <c r="U209" s="72">
        <f>U208/T208-1</f>
        <v>-0.27289377289377292</v>
      </c>
      <c r="V209" s="24"/>
      <c r="W209" s="72">
        <f>W208/U208-1</f>
        <v>0.35768261964735526</v>
      </c>
      <c r="X209" s="72">
        <f>X208/W208-1</f>
        <v>-0.18923933209647492</v>
      </c>
      <c r="Y209" s="72">
        <f>Y208/X208-1</f>
        <v>-4.1189931350114395E-2</v>
      </c>
      <c r="Z209" s="72">
        <f>Z208/Y208-1</f>
        <v>0.34606205250596656</v>
      </c>
      <c r="AA209" s="24"/>
      <c r="AB209" s="72">
        <f>AB208/Z208-1</f>
        <v>-5.1418439716312103E-2</v>
      </c>
      <c r="AC209" s="72">
        <f>AC208/AB208-1</f>
        <v>-4.6728971962616828E-2</v>
      </c>
      <c r="AD209" s="72">
        <f>AD208/AC208-1</f>
        <v>-3.1372549019607843E-2</v>
      </c>
      <c r="AE209" s="72">
        <f>AE208/AD208-1</f>
        <v>-7.0850202429149745E-2</v>
      </c>
      <c r="AF209" s="24"/>
      <c r="AG209" s="72">
        <v>9.8039215686274606E-2</v>
      </c>
      <c r="AH209" s="72">
        <v>-6.5476190476190466E-2</v>
      </c>
      <c r="AI209" s="72">
        <v>5.7324840764331197E-2</v>
      </c>
      <c r="AJ209" s="72">
        <v>1.8072289156626509E-2</v>
      </c>
      <c r="AK209" s="24"/>
      <c r="AL209" s="72">
        <v>7.8895463510848085E-2</v>
      </c>
      <c r="AM209" s="72">
        <v>0.21023765996343702</v>
      </c>
      <c r="AN209" s="72">
        <v>-0.22658610271903323</v>
      </c>
      <c r="AO209" s="72">
        <v>-0.166015625</v>
      </c>
      <c r="AP209" s="24"/>
      <c r="AQ209" s="72">
        <v>0.2552693208430914</v>
      </c>
      <c r="AR209" s="72">
        <v>7.4626865671640896E-3</v>
      </c>
      <c r="AS209" s="72">
        <v>-3.8888888888888862E-2</v>
      </c>
      <c r="AT209" s="72">
        <v>-7.3217726396917149E-2</v>
      </c>
      <c r="AU209" s="24"/>
      <c r="AV209" s="72">
        <v>6.6528066528066532E-2</v>
      </c>
      <c r="AW209" s="72">
        <v>-3.3138401559454245E-2</v>
      </c>
      <c r="AX209" s="72">
        <v>-8.0645161290322509E-3</v>
      </c>
      <c r="AY209" s="72">
        <v>-4.471544715447151E-2</v>
      </c>
      <c r="AZ209" s="24"/>
      <c r="BA209" s="72">
        <v>6.382978723404209E-3</v>
      </c>
      <c r="BB209" s="72">
        <v>-0.18181818181818177</v>
      </c>
      <c r="BC209" s="72">
        <v>0.1653746770025839</v>
      </c>
      <c r="BD209" s="85" t="s">
        <v>43</v>
      </c>
      <c r="BE209" s="24"/>
    </row>
    <row r="210" spans="1:57" ht="9.75" customHeight="1">
      <c r="A210" s="71" t="s">
        <v>8</v>
      </c>
      <c r="B210" s="24"/>
      <c r="C210" s="73"/>
      <c r="D210" s="73"/>
      <c r="E210" s="73"/>
      <c r="F210" s="73"/>
      <c r="G210" s="24">
        <f t="shared" ref="G210:N210" si="141">G208/B208-1</f>
        <v>0.1182714177407127</v>
      </c>
      <c r="H210" s="73">
        <f t="shared" si="141"/>
        <v>0.17158176943699721</v>
      </c>
      <c r="I210" s="73">
        <f t="shared" si="141"/>
        <v>-1.8099547511312264E-2</v>
      </c>
      <c r="J210" s="73">
        <f t="shared" si="141"/>
        <v>0.14719626168224309</v>
      </c>
      <c r="K210" s="73">
        <f t="shared" si="141"/>
        <v>-0.30603448275862066</v>
      </c>
      <c r="L210" s="24">
        <f t="shared" si="141"/>
        <v>3.2542372881355863E-2</v>
      </c>
      <c r="M210" s="73">
        <f t="shared" si="141"/>
        <v>0.12128146453089239</v>
      </c>
      <c r="N210" s="73">
        <f t="shared" si="141"/>
        <v>0.1589861751152073</v>
      </c>
      <c r="O210" s="73">
        <f t="shared" ref="O210:Y210" si="142">O208/J208-1</f>
        <v>0.13238289205702647</v>
      </c>
      <c r="P210" s="73">
        <f t="shared" si="142"/>
        <v>2.0683229813664594</v>
      </c>
      <c r="Q210" s="24">
        <f t="shared" si="142"/>
        <v>0.34143138542350626</v>
      </c>
      <c r="R210" s="73">
        <f t="shared" si="142"/>
        <v>-0.56938775510204076</v>
      </c>
      <c r="S210" s="73">
        <f t="shared" si="142"/>
        <v>2.7833001988071482E-2</v>
      </c>
      <c r="T210" s="73">
        <f t="shared" si="142"/>
        <v>-1.7985611510791366E-2</v>
      </c>
      <c r="U210" s="73">
        <f t="shared" si="142"/>
        <v>-0.19635627530364375</v>
      </c>
      <c r="V210" s="24">
        <f t="shared" si="142"/>
        <v>-0.18208516886930981</v>
      </c>
      <c r="W210" s="73">
        <f t="shared" si="142"/>
        <v>1.5545023696682465</v>
      </c>
      <c r="X210" s="73">
        <f t="shared" si="142"/>
        <v>-0.15473887814313347</v>
      </c>
      <c r="Y210" s="73">
        <f t="shared" si="142"/>
        <v>-0.23260073260073255</v>
      </c>
      <c r="Z210" s="73">
        <f t="shared" ref="Z210:AE210" si="143">Z208/U208-1</f>
        <v>0.420654911838791</v>
      </c>
      <c r="AA210" s="24">
        <f t="shared" si="143"/>
        <v>0.17235188509874333</v>
      </c>
      <c r="AB210" s="73">
        <f t="shared" si="143"/>
        <v>-7.4211502782931538E-3</v>
      </c>
      <c r="AC210" s="73">
        <f t="shared" si="143"/>
        <v>0.16704805491990848</v>
      </c>
      <c r="AD210" s="73">
        <f t="shared" si="143"/>
        <v>0.17899761336515518</v>
      </c>
      <c r="AE210" s="73">
        <f t="shared" si="143"/>
        <v>-0.18617021276595747</v>
      </c>
      <c r="AF210" s="24">
        <v>1.9908116385911168E-2</v>
      </c>
      <c r="AG210" s="73">
        <v>-5.7943925233644888E-2</v>
      </c>
      <c r="AH210" s="73">
        <v>-7.6470588235294068E-2</v>
      </c>
      <c r="AI210" s="73">
        <v>8.0971659919029104E-3</v>
      </c>
      <c r="AJ210" s="73">
        <v>0.10457516339869288</v>
      </c>
      <c r="AK210" s="24">
        <v>-9.009009009009028E-3</v>
      </c>
      <c r="AL210" s="73">
        <v>8.5317460317460236E-2</v>
      </c>
      <c r="AM210" s="73">
        <v>0.40552016985137995</v>
      </c>
      <c r="AN210" s="73">
        <v>2.8112449799196693E-2</v>
      </c>
      <c r="AO210" s="73">
        <v>-0.15779092702169628</v>
      </c>
      <c r="AP210" s="24">
        <v>8.4848484848484951E-2</v>
      </c>
      <c r="AQ210" s="73">
        <v>-2.0109689213894E-2</v>
      </c>
      <c r="AR210" s="73">
        <v>-0.18429003021148038</v>
      </c>
      <c r="AS210" s="73">
        <v>1.3671875E-2</v>
      </c>
      <c r="AT210" s="73">
        <v>0.12646370023419196</v>
      </c>
      <c r="AU210" s="24">
        <v>-3.3519553072625663E-2</v>
      </c>
      <c r="AV210" s="73">
        <v>-4.2910447761194015E-2</v>
      </c>
      <c r="AW210" s="73">
        <v>-8.1481481481481488E-2</v>
      </c>
      <c r="AX210" s="73">
        <v>-5.2023121387283267E-2</v>
      </c>
      <c r="AY210" s="73">
        <v>-2.2869022869022815E-2</v>
      </c>
      <c r="AZ210" s="24">
        <v>-5.0578034682080886E-2</v>
      </c>
      <c r="BA210" s="73">
        <v>-7.7972709551656916E-2</v>
      </c>
      <c r="BB210" s="73">
        <v>-0.219758064516129</v>
      </c>
      <c r="BC210" s="73">
        <v>-8.333333333333337E-2</v>
      </c>
      <c r="BD210" s="85" t="s">
        <v>43</v>
      </c>
      <c r="BE210" s="24">
        <v>-0.37899543378995437</v>
      </c>
    </row>
    <row r="211" spans="1:57">
      <c r="A211" s="69" t="s">
        <v>93</v>
      </c>
      <c r="B211" s="37">
        <v>188</v>
      </c>
      <c r="C211" s="80" t="s">
        <v>52</v>
      </c>
      <c r="D211" s="80" t="s">
        <v>52</v>
      </c>
      <c r="E211" s="80" t="s">
        <v>52</v>
      </c>
      <c r="F211" s="80" t="s">
        <v>52</v>
      </c>
      <c r="G211" s="37">
        <v>125</v>
      </c>
      <c r="H211" s="186">
        <v>-21</v>
      </c>
      <c r="I211" s="186">
        <v>-4</v>
      </c>
      <c r="J211" s="186">
        <v>3</v>
      </c>
      <c r="K211" s="186">
        <f>L211-J211-I211-H211</f>
        <v>7</v>
      </c>
      <c r="L211" s="178">
        <v>-15</v>
      </c>
      <c r="M211" s="186">
        <v>-1</v>
      </c>
      <c r="N211" s="186">
        <v>29</v>
      </c>
      <c r="O211" s="186">
        <v>30</v>
      </c>
      <c r="P211" s="186">
        <f>Q211-O211-N211-M211</f>
        <v>32</v>
      </c>
      <c r="Q211" s="37">
        <v>90</v>
      </c>
      <c r="R211" s="70">
        <v>26</v>
      </c>
      <c r="S211" s="70">
        <v>73</v>
      </c>
      <c r="T211" s="70">
        <v>88</v>
      </c>
      <c r="U211" s="70">
        <f>V211-T211-S211-R211</f>
        <v>53</v>
      </c>
      <c r="V211" s="37">
        <v>240</v>
      </c>
      <c r="W211" s="70">
        <v>49</v>
      </c>
      <c r="X211" s="70">
        <v>76</v>
      </c>
      <c r="Y211" s="70">
        <v>63</v>
      </c>
      <c r="Z211" s="70">
        <f>AA211-Y211-X211-W211</f>
        <v>71</v>
      </c>
      <c r="AA211" s="37">
        <v>259</v>
      </c>
      <c r="AB211" s="70">
        <v>98</v>
      </c>
      <c r="AC211" s="70">
        <v>112</v>
      </c>
      <c r="AD211" s="70">
        <v>130</v>
      </c>
      <c r="AE211" s="70">
        <f>AF211-AD211-AC211-AB211</f>
        <v>102</v>
      </c>
      <c r="AF211" s="37">
        <v>442</v>
      </c>
      <c r="AG211" s="147">
        <v>93</v>
      </c>
      <c r="AH211" s="147">
        <v>110</v>
      </c>
      <c r="AI211" s="147">
        <v>116</v>
      </c>
      <c r="AJ211" s="147">
        <v>81</v>
      </c>
      <c r="AK211" s="37">
        <v>400</v>
      </c>
      <c r="AL211" s="147">
        <v>75</v>
      </c>
      <c r="AM211" s="147">
        <v>100</v>
      </c>
      <c r="AN211" s="147">
        <v>138</v>
      </c>
      <c r="AO211" s="147">
        <v>19</v>
      </c>
      <c r="AP211" s="37">
        <v>332</v>
      </c>
      <c r="AQ211" s="147">
        <v>101</v>
      </c>
      <c r="AR211" s="147">
        <v>105</v>
      </c>
      <c r="AS211" s="147">
        <v>93</v>
      </c>
      <c r="AT211" s="147">
        <v>146</v>
      </c>
      <c r="AU211" s="37">
        <v>445</v>
      </c>
      <c r="AV211" s="147">
        <v>92</v>
      </c>
      <c r="AW211" s="147">
        <v>82</v>
      </c>
      <c r="AX211" s="147">
        <v>107</v>
      </c>
      <c r="AY211" s="147">
        <v>122</v>
      </c>
      <c r="AZ211" s="37">
        <v>403</v>
      </c>
      <c r="BA211" s="147">
        <v>121</v>
      </c>
      <c r="BB211" s="147">
        <v>119</v>
      </c>
      <c r="BC211" s="147">
        <v>113</v>
      </c>
      <c r="BD211" s="147">
        <v>117</v>
      </c>
      <c r="BE211" s="37">
        <v>470</v>
      </c>
    </row>
    <row r="212" spans="1:57" ht="9" customHeight="1">
      <c r="A212" s="71" t="s">
        <v>7</v>
      </c>
      <c r="B212" s="24"/>
      <c r="C212" s="73"/>
      <c r="D212" s="73"/>
      <c r="E212" s="73"/>
      <c r="F212" s="73"/>
      <c r="G212" s="24"/>
      <c r="H212" s="72"/>
      <c r="I212" s="72">
        <f>I211/H211-1</f>
        <v>-0.80952380952380953</v>
      </c>
      <c r="J212" s="83" t="s">
        <v>43</v>
      </c>
      <c r="K212" s="72">
        <f>K211/J211-1</f>
        <v>1.3333333333333335</v>
      </c>
      <c r="L212" s="24"/>
      <c r="M212" s="83" t="s">
        <v>43</v>
      </c>
      <c r="N212" s="83" t="s">
        <v>43</v>
      </c>
      <c r="O212" s="72">
        <f>O211/N211-1</f>
        <v>3.4482758620689724E-2</v>
      </c>
      <c r="P212" s="72">
        <f>P211/O211-1</f>
        <v>6.6666666666666652E-2</v>
      </c>
      <c r="Q212" s="24"/>
      <c r="R212" s="72">
        <f>R211/P211-1</f>
        <v>-0.1875</v>
      </c>
      <c r="S212" s="72">
        <f>S211/R211-1</f>
        <v>1.8076923076923075</v>
      </c>
      <c r="T212" s="72">
        <f>T211/S211-1</f>
        <v>0.20547945205479445</v>
      </c>
      <c r="U212" s="72">
        <f>U211/T211-1</f>
        <v>-0.39772727272727271</v>
      </c>
      <c r="V212" s="24"/>
      <c r="W212" s="72">
        <f>W211/U211-1</f>
        <v>-7.547169811320753E-2</v>
      </c>
      <c r="X212" s="72">
        <f>X211/W211-1</f>
        <v>0.55102040816326525</v>
      </c>
      <c r="Y212" s="72">
        <f>Y211/X211-1</f>
        <v>-0.17105263157894735</v>
      </c>
      <c r="Z212" s="72">
        <f>Z211/Y211-1</f>
        <v>0.12698412698412698</v>
      </c>
      <c r="AA212" s="24"/>
      <c r="AB212" s="72">
        <f>AB211/Z211-1</f>
        <v>0.38028169014084501</v>
      </c>
      <c r="AC212" s="72">
        <f>AC211/AB211-1</f>
        <v>0.14285714285714279</v>
      </c>
      <c r="AD212" s="72">
        <f>AD211/AC211-1</f>
        <v>0.16071428571428581</v>
      </c>
      <c r="AE212" s="72">
        <f>AE211/AD211-1</f>
        <v>-0.2153846153846154</v>
      </c>
      <c r="AF212" s="24"/>
      <c r="AG212" s="72">
        <v>-8.8235294117647078E-2</v>
      </c>
      <c r="AH212" s="72">
        <v>0.18279569892473124</v>
      </c>
      <c r="AI212" s="72">
        <v>5.4545454545454453E-2</v>
      </c>
      <c r="AJ212" s="72">
        <v>-0.30172413793103448</v>
      </c>
      <c r="AK212" s="24"/>
      <c r="AL212" s="72">
        <v>-7.407407407407407E-2</v>
      </c>
      <c r="AM212" s="72">
        <v>0.33333333333333326</v>
      </c>
      <c r="AN212" s="72">
        <v>0.37999999999999989</v>
      </c>
      <c r="AO212" s="72">
        <v>-0.8623188405797102</v>
      </c>
      <c r="AP212" s="24"/>
      <c r="AQ212" s="72">
        <v>4.3157894736842106</v>
      </c>
      <c r="AR212" s="72">
        <v>3.9603960396039639E-2</v>
      </c>
      <c r="AS212" s="72">
        <v>-0.11428571428571432</v>
      </c>
      <c r="AT212" s="72">
        <v>0.56989247311827951</v>
      </c>
      <c r="AU212" s="24"/>
      <c r="AV212" s="72">
        <v>-0.36986301369863017</v>
      </c>
      <c r="AW212" s="72">
        <v>-0.10869565217391308</v>
      </c>
      <c r="AX212" s="72">
        <v>0.30487804878048785</v>
      </c>
      <c r="AY212" s="72">
        <v>0.14018691588785037</v>
      </c>
      <c r="AZ212" s="24"/>
      <c r="BA212" s="72">
        <v>-8.1967213114754189E-3</v>
      </c>
      <c r="BB212" s="72">
        <v>-1.6528925619834656E-2</v>
      </c>
      <c r="BC212" s="72">
        <v>-5.0420168067226934E-2</v>
      </c>
      <c r="BD212" s="72">
        <v>3.539823008849563E-2</v>
      </c>
      <c r="BE212" s="24"/>
    </row>
    <row r="213" spans="1:57" ht="10.5" customHeight="1">
      <c r="A213" s="71" t="s">
        <v>8</v>
      </c>
      <c r="B213" s="24"/>
      <c r="C213" s="73"/>
      <c r="D213" s="73"/>
      <c r="E213" s="73"/>
      <c r="F213" s="73"/>
      <c r="G213" s="24">
        <f>G211/B211-1</f>
        <v>-0.33510638297872342</v>
      </c>
      <c r="H213" s="73"/>
      <c r="I213" s="73"/>
      <c r="J213" s="73"/>
      <c r="K213" s="73"/>
      <c r="L213" s="92" t="s">
        <v>43</v>
      </c>
      <c r="M213" s="73">
        <f>M211/H211-1</f>
        <v>-0.95238095238095233</v>
      </c>
      <c r="N213" s="73">
        <f>N211/I211-1</f>
        <v>-8.25</v>
      </c>
      <c r="O213" s="73">
        <f>O211/J211-1</f>
        <v>9</v>
      </c>
      <c r="P213" s="73">
        <f>P211/K211-1</f>
        <v>3.5714285714285712</v>
      </c>
      <c r="Q213" s="92" t="s">
        <v>43</v>
      </c>
      <c r="R213" s="83" t="s">
        <v>43</v>
      </c>
      <c r="S213" s="73">
        <f t="shared" ref="S213:AD213" si="144">S211/N211-1</f>
        <v>1.5172413793103448</v>
      </c>
      <c r="T213" s="73">
        <f t="shared" si="144"/>
        <v>1.9333333333333331</v>
      </c>
      <c r="U213" s="73">
        <f t="shared" si="144"/>
        <v>0.65625</v>
      </c>
      <c r="V213" s="24">
        <f t="shared" si="144"/>
        <v>1.6666666666666665</v>
      </c>
      <c r="W213" s="73">
        <f t="shared" si="144"/>
        <v>0.88461538461538458</v>
      </c>
      <c r="X213" s="73">
        <f t="shared" si="144"/>
        <v>4.1095890410958846E-2</v>
      </c>
      <c r="Y213" s="73">
        <f t="shared" si="144"/>
        <v>-0.28409090909090906</v>
      </c>
      <c r="Z213" s="73">
        <f t="shared" si="144"/>
        <v>0.33962264150943389</v>
      </c>
      <c r="AA213" s="24">
        <f t="shared" si="144"/>
        <v>7.9166666666666607E-2</v>
      </c>
      <c r="AB213" s="73">
        <f t="shared" si="144"/>
        <v>1</v>
      </c>
      <c r="AC213" s="73">
        <f t="shared" si="144"/>
        <v>0.47368421052631571</v>
      </c>
      <c r="AD213" s="73">
        <f t="shared" si="144"/>
        <v>1.0634920634920637</v>
      </c>
      <c r="AE213" s="73">
        <f t="shared" ref="AE213" si="145">AE211/Z211-1</f>
        <v>0.43661971830985924</v>
      </c>
      <c r="AF213" s="24">
        <v>0.70656370656370648</v>
      </c>
      <c r="AG213" s="73">
        <v>-5.1020408163265252E-2</v>
      </c>
      <c r="AH213" s="73">
        <v>-1.7857142857142905E-2</v>
      </c>
      <c r="AI213" s="73">
        <v>-0.10769230769230764</v>
      </c>
      <c r="AJ213" s="73">
        <v>-0.20588235294117652</v>
      </c>
      <c r="AK213" s="24">
        <v>-9.5022624434389136E-2</v>
      </c>
      <c r="AL213" s="73">
        <v>-0.19354838709677424</v>
      </c>
      <c r="AM213" s="73">
        <v>-9.0909090909090939E-2</v>
      </c>
      <c r="AN213" s="73">
        <v>0.18965517241379315</v>
      </c>
      <c r="AO213" s="73">
        <v>-0.76543209876543217</v>
      </c>
      <c r="AP213" s="24">
        <v>-0.17000000000000004</v>
      </c>
      <c r="AQ213" s="73">
        <v>0.34666666666666668</v>
      </c>
      <c r="AR213" s="73">
        <v>5.0000000000000044E-2</v>
      </c>
      <c r="AS213" s="73">
        <v>-0.32608695652173914</v>
      </c>
      <c r="AT213" s="73">
        <v>6.6842105263157894</v>
      </c>
      <c r="AU213" s="24">
        <v>0.34036144578313254</v>
      </c>
      <c r="AV213" s="73">
        <v>-8.9108910891089077E-2</v>
      </c>
      <c r="AW213" s="73">
        <v>-0.21904761904761905</v>
      </c>
      <c r="AX213" s="73">
        <v>0.15053763440860224</v>
      </c>
      <c r="AY213" s="73">
        <v>-0.16438356164383561</v>
      </c>
      <c r="AZ213" s="24">
        <v>-9.4382022471910076E-2</v>
      </c>
      <c r="BA213" s="73">
        <v>0.31521739130434789</v>
      </c>
      <c r="BB213" s="73">
        <v>0.45121951219512191</v>
      </c>
      <c r="BC213" s="73">
        <v>5.6074766355140193E-2</v>
      </c>
      <c r="BD213" s="73">
        <v>-4.0983606557377095E-2</v>
      </c>
      <c r="BE213" s="24">
        <v>0.16625310173697261</v>
      </c>
    </row>
    <row r="214" spans="1:57" ht="11.1" customHeight="1">
      <c r="A214" s="69" t="s">
        <v>202</v>
      </c>
      <c r="B214" s="37">
        <v>394</v>
      </c>
      <c r="C214" s="80" t="s">
        <v>52</v>
      </c>
      <c r="D214" s="80" t="s">
        <v>52</v>
      </c>
      <c r="E214" s="80" t="s">
        <v>52</v>
      </c>
      <c r="F214" s="80" t="s">
        <v>52</v>
      </c>
      <c r="G214" s="37">
        <v>400</v>
      </c>
      <c r="H214" s="80" t="s">
        <v>52</v>
      </c>
      <c r="I214" s="80" t="s">
        <v>52</v>
      </c>
      <c r="J214" s="80" t="s">
        <v>52</v>
      </c>
      <c r="K214" s="80" t="s">
        <v>52</v>
      </c>
      <c r="L214" s="178">
        <v>431</v>
      </c>
      <c r="M214" s="80" t="s">
        <v>52</v>
      </c>
      <c r="N214" s="80" t="s">
        <v>52</v>
      </c>
      <c r="O214" s="80" t="s">
        <v>52</v>
      </c>
      <c r="P214" s="80" t="s">
        <v>52</v>
      </c>
      <c r="Q214" s="37">
        <v>527</v>
      </c>
      <c r="R214" s="80" t="s">
        <v>52</v>
      </c>
      <c r="S214" s="80" t="s">
        <v>52</v>
      </c>
      <c r="T214" s="80" t="s">
        <v>52</v>
      </c>
      <c r="U214" s="80" t="s">
        <v>52</v>
      </c>
      <c r="V214" s="37">
        <v>356</v>
      </c>
      <c r="W214" s="80" t="s">
        <v>52</v>
      </c>
      <c r="X214" s="80" t="s">
        <v>52</v>
      </c>
      <c r="Y214" s="80" t="s">
        <v>52</v>
      </c>
      <c r="Z214" s="80" t="s">
        <v>52</v>
      </c>
      <c r="AA214" s="37">
        <v>493</v>
      </c>
      <c r="AB214" s="80" t="s">
        <v>52</v>
      </c>
      <c r="AC214" s="80" t="s">
        <v>52</v>
      </c>
      <c r="AD214" s="80" t="s">
        <v>52</v>
      </c>
      <c r="AE214" s="80" t="s">
        <v>52</v>
      </c>
      <c r="AF214" s="37">
        <v>410</v>
      </c>
      <c r="AG214" s="80" t="s">
        <v>52</v>
      </c>
      <c r="AH214" s="80" t="s">
        <v>52</v>
      </c>
      <c r="AI214" s="80" t="s">
        <v>52</v>
      </c>
      <c r="AJ214" s="80" t="s">
        <v>52</v>
      </c>
      <c r="AK214" s="37">
        <v>478</v>
      </c>
      <c r="AL214" s="80" t="s">
        <v>52</v>
      </c>
      <c r="AM214" s="80" t="s">
        <v>52</v>
      </c>
      <c r="AN214" s="80" t="s">
        <v>52</v>
      </c>
      <c r="AO214" s="80" t="s">
        <v>52</v>
      </c>
      <c r="AP214" s="37">
        <v>492</v>
      </c>
      <c r="AQ214" s="147">
        <v>107</v>
      </c>
      <c r="AR214" s="147">
        <v>109</v>
      </c>
      <c r="AS214" s="147">
        <v>83</v>
      </c>
      <c r="AT214" s="147">
        <v>100</v>
      </c>
      <c r="AU214" s="37">
        <v>399</v>
      </c>
      <c r="AV214" s="147">
        <v>102</v>
      </c>
      <c r="AW214" s="147">
        <v>97</v>
      </c>
      <c r="AX214" s="147">
        <v>109</v>
      </c>
      <c r="AY214" s="147">
        <v>88</v>
      </c>
      <c r="AZ214" s="37">
        <v>396</v>
      </c>
      <c r="BA214" s="147">
        <v>89</v>
      </c>
      <c r="BB214" s="147">
        <v>66</v>
      </c>
      <c r="BC214" s="147">
        <v>81</v>
      </c>
      <c r="BD214" s="186">
        <v>-49</v>
      </c>
      <c r="BE214" s="37">
        <v>187</v>
      </c>
    </row>
    <row r="215" spans="1:57" ht="11.7" customHeight="1">
      <c r="A215" s="71" t="s">
        <v>7</v>
      </c>
      <c r="B215" s="24"/>
      <c r="C215" s="72"/>
      <c r="D215" s="72"/>
      <c r="E215" s="72"/>
      <c r="F215" s="72"/>
      <c r="G215" s="24"/>
      <c r="H215" s="72"/>
      <c r="I215" s="72"/>
      <c r="J215" s="72"/>
      <c r="K215" s="72"/>
      <c r="L215" s="24"/>
      <c r="M215" s="72"/>
      <c r="N215" s="72"/>
      <c r="O215" s="72"/>
      <c r="P215" s="72"/>
      <c r="Q215" s="24"/>
      <c r="R215" s="72"/>
      <c r="S215" s="72"/>
      <c r="T215" s="72"/>
      <c r="U215" s="72"/>
      <c r="V215" s="24"/>
      <c r="W215" s="72"/>
      <c r="X215" s="72"/>
      <c r="Y215" s="72"/>
      <c r="Z215" s="72"/>
      <c r="AA215" s="24"/>
      <c r="AB215" s="72"/>
      <c r="AC215" s="72"/>
      <c r="AD215" s="72"/>
      <c r="AE215" s="72"/>
      <c r="AF215" s="24"/>
      <c r="AG215" s="72"/>
      <c r="AH215" s="72"/>
      <c r="AI215" s="72"/>
      <c r="AJ215" s="72"/>
      <c r="AK215" s="24"/>
      <c r="AL215" s="72"/>
      <c r="AM215" s="72"/>
      <c r="AN215" s="72"/>
      <c r="AO215" s="72"/>
      <c r="AP215" s="24"/>
      <c r="AQ215" s="72"/>
      <c r="AR215" s="72">
        <v>1.8691588785046731E-2</v>
      </c>
      <c r="AS215" s="72">
        <v>-0.23853211009174313</v>
      </c>
      <c r="AT215" s="72">
        <v>0.20481927710843384</v>
      </c>
      <c r="AU215" s="24"/>
      <c r="AV215" s="72">
        <v>2.0000000000000018E-2</v>
      </c>
      <c r="AW215" s="72">
        <v>-4.9019607843137303E-2</v>
      </c>
      <c r="AX215" s="72">
        <v>0.12371134020618557</v>
      </c>
      <c r="AY215" s="72">
        <v>-0.19266055045871555</v>
      </c>
      <c r="AZ215" s="24"/>
      <c r="BA215" s="72">
        <v>1.1363636363636465E-2</v>
      </c>
      <c r="BB215" s="72">
        <v>-0.2584269662921348</v>
      </c>
      <c r="BC215" s="72">
        <v>0.22727272727272729</v>
      </c>
      <c r="BD215" s="85" t="s">
        <v>43</v>
      </c>
      <c r="BE215" s="24"/>
    </row>
    <row r="216" spans="1:57" ht="10.5" customHeight="1">
      <c r="A216" s="71" t="s">
        <v>8</v>
      </c>
      <c r="B216" s="24"/>
      <c r="C216" s="73"/>
      <c r="D216" s="73"/>
      <c r="E216" s="73"/>
      <c r="F216" s="73"/>
      <c r="G216" s="24">
        <f t="shared" ref="G216" si="146">G214/B214-1</f>
        <v>1.5228426395939021E-2</v>
      </c>
      <c r="H216" s="73"/>
      <c r="I216" s="73"/>
      <c r="J216" s="73"/>
      <c r="K216" s="73"/>
      <c r="L216" s="24">
        <f t="shared" ref="L216" si="147">L214/G214-1</f>
        <v>7.7499999999999902E-2</v>
      </c>
      <c r="M216" s="73"/>
      <c r="N216" s="73"/>
      <c r="O216" s="73"/>
      <c r="P216" s="73"/>
      <c r="Q216" s="24">
        <f t="shared" ref="Q216" si="148">Q214/L214-1</f>
        <v>0.22273781902552203</v>
      </c>
      <c r="R216" s="73"/>
      <c r="S216" s="73"/>
      <c r="T216" s="73"/>
      <c r="U216" s="73"/>
      <c r="V216" s="24">
        <f t="shared" ref="V216" si="149">V214/Q214-1</f>
        <v>-0.32447817836812143</v>
      </c>
      <c r="W216" s="73"/>
      <c r="X216" s="73"/>
      <c r="Y216" s="73"/>
      <c r="Z216" s="73"/>
      <c r="AA216" s="24">
        <f t="shared" ref="AA216" si="150">AA214/V214-1</f>
        <v>0.38483146067415741</v>
      </c>
      <c r="AB216" s="73"/>
      <c r="AC216" s="73"/>
      <c r="AD216" s="73"/>
      <c r="AE216" s="73"/>
      <c r="AF216" s="24">
        <v>-0.16835699797160242</v>
      </c>
      <c r="AG216" s="73"/>
      <c r="AH216" s="73"/>
      <c r="AI216" s="73"/>
      <c r="AJ216" s="73"/>
      <c r="AK216" s="24">
        <v>0.16585365853658529</v>
      </c>
      <c r="AL216" s="73"/>
      <c r="AM216" s="73"/>
      <c r="AN216" s="73"/>
      <c r="AO216" s="73"/>
      <c r="AP216" s="24">
        <v>2.9288702928870203E-2</v>
      </c>
      <c r="AQ216" s="73"/>
      <c r="AR216" s="73"/>
      <c r="AS216" s="73"/>
      <c r="AT216" s="73"/>
      <c r="AU216" s="24">
        <v>-0.18902439024390238</v>
      </c>
      <c r="AV216" s="73">
        <v>-4.6728971962616828E-2</v>
      </c>
      <c r="AW216" s="73">
        <v>-0.11009174311926606</v>
      </c>
      <c r="AX216" s="73">
        <v>0.31325301204819267</v>
      </c>
      <c r="AY216" s="73">
        <v>-0.12</v>
      </c>
      <c r="AZ216" s="24">
        <v>-7.5187969924812581E-3</v>
      </c>
      <c r="BA216" s="73">
        <v>-0.12745098039215685</v>
      </c>
      <c r="BB216" s="73">
        <v>-0.31958762886597936</v>
      </c>
      <c r="BC216" s="73">
        <v>-0.25688073394495414</v>
      </c>
      <c r="BD216" s="85" t="s">
        <v>43</v>
      </c>
      <c r="BE216" s="24">
        <v>-0.52777777777777779</v>
      </c>
    </row>
    <row r="217" spans="1:57" ht="12" customHeight="1">
      <c r="A217" s="69" t="s">
        <v>271</v>
      </c>
      <c r="B217" s="37">
        <f>1330-593</f>
        <v>737</v>
      </c>
      <c r="C217" s="70">
        <f>398-154</f>
        <v>244</v>
      </c>
      <c r="D217" s="70">
        <f>468-178</f>
        <v>290</v>
      </c>
      <c r="E217" s="70">
        <f>462-191</f>
        <v>271</v>
      </c>
      <c r="F217" s="70">
        <f>G217-E217-D217-C217</f>
        <v>145</v>
      </c>
      <c r="G217" s="37">
        <f>1627-677</f>
        <v>950</v>
      </c>
      <c r="H217" s="70">
        <f>608-272</f>
        <v>336</v>
      </c>
      <c r="I217" s="70">
        <f>541-225</f>
        <v>316</v>
      </c>
      <c r="J217" s="70">
        <v>319</v>
      </c>
      <c r="K217" s="70">
        <f>L217-J217-I217-H217</f>
        <v>136</v>
      </c>
      <c r="L217" s="37">
        <f>3603-958-1538</f>
        <v>1107</v>
      </c>
      <c r="M217" s="70">
        <f>642-282</f>
        <v>360</v>
      </c>
      <c r="N217" s="70">
        <f>638-289</f>
        <v>349</v>
      </c>
      <c r="O217" s="70">
        <f>588-211</f>
        <v>377</v>
      </c>
      <c r="P217" s="70">
        <f>Q217-O217-N217-M217</f>
        <v>340</v>
      </c>
      <c r="Q217" s="37">
        <f>2443-1017</f>
        <v>1426</v>
      </c>
      <c r="R217" s="70">
        <f>185-62</f>
        <v>123</v>
      </c>
      <c r="S217" s="70">
        <v>330</v>
      </c>
      <c r="T217" s="70">
        <f>458-147</f>
        <v>311</v>
      </c>
      <c r="U217" s="70">
        <f>V217-T217-S217-R217</f>
        <v>309</v>
      </c>
      <c r="V217" s="37">
        <v>1073</v>
      </c>
      <c r="W217" s="70">
        <f>490-162+20</f>
        <v>348</v>
      </c>
      <c r="X217" s="70">
        <f>361-98</f>
        <v>263</v>
      </c>
      <c r="Y217" s="70">
        <f>356-110</f>
        <v>246</v>
      </c>
      <c r="Z217" s="70">
        <f>AA217-Y217-X217-W217</f>
        <v>370</v>
      </c>
      <c r="AA217" s="37">
        <f>1700-493+20</f>
        <v>1227</v>
      </c>
      <c r="AB217" s="70">
        <v>303</v>
      </c>
      <c r="AC217" s="70">
        <v>292</v>
      </c>
      <c r="AD217" s="70">
        <v>288</v>
      </c>
      <c r="AE217" s="70">
        <f>AF217-AD217-AC217-AB217</f>
        <v>263</v>
      </c>
      <c r="AF217" s="37">
        <v>1146</v>
      </c>
      <c r="AG217" s="147">
        <v>295</v>
      </c>
      <c r="AH217" s="147">
        <v>251</v>
      </c>
      <c r="AI217" s="147">
        <v>263</v>
      </c>
      <c r="AJ217" s="147">
        <v>293</v>
      </c>
      <c r="AK217" s="37">
        <v>1102</v>
      </c>
      <c r="AL217" s="70">
        <v>346</v>
      </c>
      <c r="AM217" s="70">
        <v>382</v>
      </c>
      <c r="AN217" s="70">
        <v>256</v>
      </c>
      <c r="AO217" s="147">
        <v>340</v>
      </c>
      <c r="AP217" s="37">
        <v>1324</v>
      </c>
      <c r="AQ217" s="70">
        <v>328</v>
      </c>
      <c r="AR217" s="70">
        <v>326</v>
      </c>
      <c r="AS217" s="70">
        <v>343</v>
      </c>
      <c r="AT217" s="147">
        <v>235</v>
      </c>
      <c r="AU217" s="37">
        <v>1232</v>
      </c>
      <c r="AV217" s="70">
        <v>319</v>
      </c>
      <c r="AW217" s="70">
        <v>317</v>
      </c>
      <c r="AX217" s="70">
        <v>276</v>
      </c>
      <c r="AY217" s="147">
        <v>260</v>
      </c>
      <c r="AZ217" s="37">
        <v>1172</v>
      </c>
      <c r="BA217" s="70">
        <v>263</v>
      </c>
      <c r="BB217" s="70">
        <v>202</v>
      </c>
      <c r="BC217" s="70">
        <v>257</v>
      </c>
      <c r="BD217" s="186">
        <v>-155</v>
      </c>
      <c r="BE217" s="37">
        <v>567</v>
      </c>
    </row>
    <row r="218" spans="1:57" ht="12" customHeight="1">
      <c r="A218" s="71" t="s">
        <v>7</v>
      </c>
      <c r="B218" s="24"/>
      <c r="C218" s="72"/>
      <c r="D218" s="72">
        <f>D217/C217-1</f>
        <v>0.18852459016393452</v>
      </c>
      <c r="E218" s="72">
        <f>E217/D217-1</f>
        <v>-6.5517241379310365E-2</v>
      </c>
      <c r="F218" s="72">
        <f>F217/E217-1</f>
        <v>-0.4649446494464945</v>
      </c>
      <c r="G218" s="24"/>
      <c r="H218" s="72">
        <f>H217/F217-1</f>
        <v>1.317241379310345</v>
      </c>
      <c r="I218" s="72">
        <f>I217/H217-1</f>
        <v>-5.9523809523809534E-2</v>
      </c>
      <c r="J218" s="72">
        <f>J217/I217-1</f>
        <v>9.493670886076E-3</v>
      </c>
      <c r="K218" s="72">
        <f>K217/J217-1</f>
        <v>-0.57366771159874608</v>
      </c>
      <c r="L218" s="24"/>
      <c r="M218" s="72">
        <f>M217/K217-1</f>
        <v>1.6470588235294117</v>
      </c>
      <c r="N218" s="72">
        <f>N217/M217-1</f>
        <v>-3.0555555555555558E-2</v>
      </c>
      <c r="O218" s="72">
        <f>O217/N217-1</f>
        <v>8.022922636103158E-2</v>
      </c>
      <c r="P218" s="72">
        <f>P217/O217-1</f>
        <v>-9.8143236074270557E-2</v>
      </c>
      <c r="Q218" s="24"/>
      <c r="R218" s="72">
        <f>R217/P217-1</f>
        <v>-0.63823529411764701</v>
      </c>
      <c r="S218" s="72">
        <f>S217/R217-1</f>
        <v>1.6829268292682928</v>
      </c>
      <c r="T218" s="72">
        <f>T217/S217-1</f>
        <v>-5.7575757575757613E-2</v>
      </c>
      <c r="U218" s="72">
        <f>U217/T217-1</f>
        <v>-6.4308681672026191E-3</v>
      </c>
      <c r="V218" s="24"/>
      <c r="W218" s="72">
        <f>W217/U217-1</f>
        <v>0.12621359223300965</v>
      </c>
      <c r="X218" s="72">
        <f>X217/W217-1</f>
        <v>-0.24425287356321834</v>
      </c>
      <c r="Y218" s="72">
        <f>Y217/X217-1</f>
        <v>-6.4638783269961975E-2</v>
      </c>
      <c r="Z218" s="72">
        <f>Z217/Y217-1</f>
        <v>0.50406504065040658</v>
      </c>
      <c r="AA218" s="24"/>
      <c r="AB218" s="72">
        <f>AB217/Z217-1</f>
        <v>-0.18108108108108112</v>
      </c>
      <c r="AC218" s="72">
        <f>AC217/AB217-1</f>
        <v>-3.6303630363036299E-2</v>
      </c>
      <c r="AD218" s="72">
        <f>AD217/AC217-1</f>
        <v>-1.3698630136986356E-2</v>
      </c>
      <c r="AE218" s="72">
        <f>AE217/AD217-1</f>
        <v>-8.680555555555558E-2</v>
      </c>
      <c r="AF218" s="24"/>
      <c r="AG218" s="72">
        <v>0.1216730038022813</v>
      </c>
      <c r="AH218" s="72">
        <v>-0.14915254237288134</v>
      </c>
      <c r="AI218" s="72">
        <v>4.7808764940239001E-2</v>
      </c>
      <c r="AJ218" s="72">
        <v>0.11406844106463887</v>
      </c>
      <c r="AK218" s="24"/>
      <c r="AL218" s="72">
        <v>0.1808873720136519</v>
      </c>
      <c r="AM218" s="72">
        <v>0.10404624277456653</v>
      </c>
      <c r="AN218" s="72">
        <v>-0.32984293193717273</v>
      </c>
      <c r="AO218" s="72">
        <v>0.328125</v>
      </c>
      <c r="AP218" s="24"/>
      <c r="AQ218" s="72">
        <v>-3.5294117647058809E-2</v>
      </c>
      <c r="AR218" s="72">
        <v>-6.0975609756097615E-3</v>
      </c>
      <c r="AS218" s="72">
        <v>5.2147239263803602E-2</v>
      </c>
      <c r="AT218" s="72">
        <v>-0.314868804664723</v>
      </c>
      <c r="AU218" s="24"/>
      <c r="AV218" s="72">
        <v>0.35744680851063837</v>
      </c>
      <c r="AW218" s="72">
        <v>-6.2695924764890609E-3</v>
      </c>
      <c r="AX218" s="72">
        <v>-0.12933753943217663</v>
      </c>
      <c r="AY218" s="72">
        <v>-5.7971014492753659E-2</v>
      </c>
      <c r="AZ218" s="24"/>
      <c r="BA218" s="72">
        <v>1.1538461538461497E-2</v>
      </c>
      <c r="BB218" s="72">
        <v>-0.23193916349809884</v>
      </c>
      <c r="BC218" s="72">
        <v>0.2722772277227723</v>
      </c>
      <c r="BD218" s="85" t="s">
        <v>43</v>
      </c>
      <c r="BE218" s="24"/>
    </row>
    <row r="219" spans="1:57" ht="9" customHeight="1">
      <c r="A219" s="71" t="s">
        <v>8</v>
      </c>
      <c r="B219" s="24"/>
      <c r="C219" s="73"/>
      <c r="D219" s="73"/>
      <c r="E219" s="73"/>
      <c r="F219" s="73"/>
      <c r="G219" s="24">
        <f t="shared" ref="G219:N219" si="151">G217/B217-1</f>
        <v>0.28900949796472175</v>
      </c>
      <c r="H219" s="73">
        <f t="shared" si="151"/>
        <v>0.37704918032786883</v>
      </c>
      <c r="I219" s="73">
        <f t="shared" si="151"/>
        <v>8.9655172413793061E-2</v>
      </c>
      <c r="J219" s="73">
        <f t="shared" si="151"/>
        <v>0.17712177121771222</v>
      </c>
      <c r="K219" s="73">
        <f t="shared" si="151"/>
        <v>-6.2068965517241392E-2</v>
      </c>
      <c r="L219" s="24">
        <f t="shared" si="151"/>
        <v>0.16526315789473678</v>
      </c>
      <c r="M219" s="73">
        <f t="shared" si="151"/>
        <v>7.1428571428571397E-2</v>
      </c>
      <c r="N219" s="73">
        <f t="shared" si="151"/>
        <v>0.10443037974683533</v>
      </c>
      <c r="O219" s="73">
        <f t="shared" ref="O219:Y219" si="152">O217/J217-1</f>
        <v>0.18181818181818188</v>
      </c>
      <c r="P219" s="73">
        <f t="shared" si="152"/>
        <v>1.5</v>
      </c>
      <c r="Q219" s="24">
        <f t="shared" si="152"/>
        <v>0.28816621499548334</v>
      </c>
      <c r="R219" s="73">
        <f t="shared" si="152"/>
        <v>-0.65833333333333333</v>
      </c>
      <c r="S219" s="73">
        <f t="shared" si="152"/>
        <v>-5.4441260744985676E-2</v>
      </c>
      <c r="T219" s="73">
        <f t="shared" si="152"/>
        <v>-0.17506631299734743</v>
      </c>
      <c r="U219" s="73">
        <f t="shared" si="152"/>
        <v>-9.1176470588235303E-2</v>
      </c>
      <c r="V219" s="24">
        <f t="shared" si="152"/>
        <v>-0.24754558204768584</v>
      </c>
      <c r="W219" s="73">
        <f t="shared" si="152"/>
        <v>1.8292682926829267</v>
      </c>
      <c r="X219" s="73">
        <f t="shared" si="152"/>
        <v>-0.20303030303030301</v>
      </c>
      <c r="Y219" s="73">
        <f t="shared" si="152"/>
        <v>-0.20900321543408362</v>
      </c>
      <c r="Z219" s="73">
        <f t="shared" ref="Z219:AE219" si="153">Z217/U217-1</f>
        <v>0.19741100323624594</v>
      </c>
      <c r="AA219" s="24">
        <f t="shared" si="153"/>
        <v>0.14352283317800563</v>
      </c>
      <c r="AB219" s="73">
        <f t="shared" si="153"/>
        <v>-0.12931034482758619</v>
      </c>
      <c r="AC219" s="73">
        <f t="shared" si="153"/>
        <v>0.11026615969581743</v>
      </c>
      <c r="AD219" s="73">
        <f t="shared" si="153"/>
        <v>0.1707317073170731</v>
      </c>
      <c r="AE219" s="73">
        <f t="shared" si="153"/>
        <v>-0.28918918918918923</v>
      </c>
      <c r="AF219" s="24">
        <v>-6.6014669926650393E-2</v>
      </c>
      <c r="AG219" s="73">
        <v>-2.6402640264026389E-2</v>
      </c>
      <c r="AH219" s="73">
        <v>-0.1404109589041096</v>
      </c>
      <c r="AI219" s="73">
        <v>-8.680555555555558E-2</v>
      </c>
      <c r="AJ219" s="73">
        <v>0.11406844106463887</v>
      </c>
      <c r="AK219" s="24">
        <v>-3.839441535776611E-2</v>
      </c>
      <c r="AL219" s="73">
        <v>0.17288135593220333</v>
      </c>
      <c r="AM219" s="73">
        <v>0.52191235059760954</v>
      </c>
      <c r="AN219" s="73">
        <v>-2.6615969581749055E-2</v>
      </c>
      <c r="AO219" s="73">
        <v>0.16040955631399312</v>
      </c>
      <c r="AP219" s="24">
        <v>0.20145190562613435</v>
      </c>
      <c r="AQ219" s="73">
        <v>-5.2023121387283267E-2</v>
      </c>
      <c r="AR219" s="73">
        <v>-0.1465968586387435</v>
      </c>
      <c r="AS219" s="73">
        <v>0.33984375</v>
      </c>
      <c r="AT219" s="73">
        <v>-0.30882352941176472</v>
      </c>
      <c r="AU219" s="24">
        <v>-6.9486404833836835E-2</v>
      </c>
      <c r="AV219" s="73">
        <v>-2.7439024390243927E-2</v>
      </c>
      <c r="AW219" s="73">
        <v>-2.7607361963190136E-2</v>
      </c>
      <c r="AX219" s="73">
        <v>-0.19533527696793007</v>
      </c>
      <c r="AY219" s="73">
        <v>0.1063829787234043</v>
      </c>
      <c r="AZ219" s="24">
        <v>-4.870129870129869E-2</v>
      </c>
      <c r="BA219" s="73">
        <v>-0.17554858934169282</v>
      </c>
      <c r="BB219" s="73">
        <v>-0.36277602523659302</v>
      </c>
      <c r="BC219" s="73">
        <v>-6.88405797101449E-2</v>
      </c>
      <c r="BD219" s="85" t="s">
        <v>43</v>
      </c>
      <c r="BE219" s="24">
        <v>-0.5162116040955631</v>
      </c>
    </row>
    <row r="220" spans="1:57" ht="23.25" customHeight="1">
      <c r="A220" s="231" t="s">
        <v>274</v>
      </c>
      <c r="B220" s="24"/>
      <c r="C220" s="73"/>
      <c r="D220" s="73"/>
      <c r="E220" s="73"/>
      <c r="F220" s="73"/>
      <c r="G220" s="24"/>
      <c r="H220" s="73"/>
      <c r="I220" s="73"/>
      <c r="J220" s="73"/>
      <c r="K220" s="73"/>
      <c r="L220" s="24"/>
      <c r="M220" s="73"/>
      <c r="N220" s="73"/>
      <c r="O220" s="73"/>
      <c r="P220" s="73"/>
      <c r="Q220" s="24"/>
      <c r="R220" s="73"/>
      <c r="S220" s="73"/>
      <c r="T220" s="73"/>
      <c r="U220" s="73"/>
      <c r="V220" s="24"/>
      <c r="W220" s="73"/>
      <c r="X220" s="73"/>
      <c r="Y220" s="73"/>
      <c r="Z220" s="73"/>
      <c r="AA220" s="24"/>
      <c r="AB220" s="73"/>
      <c r="AC220" s="73"/>
      <c r="AD220" s="73"/>
      <c r="AE220" s="73"/>
      <c r="AF220" s="37">
        <v>1087.5</v>
      </c>
      <c r="AG220" s="73"/>
      <c r="AH220" s="73"/>
      <c r="AI220" s="73"/>
      <c r="AJ220" s="73"/>
      <c r="AK220" s="37">
        <v>1084.75</v>
      </c>
      <c r="AL220" s="73"/>
      <c r="AM220" s="73"/>
      <c r="AN220" s="73"/>
      <c r="AO220" s="73"/>
      <c r="AP220" s="37">
        <v>1249.75</v>
      </c>
      <c r="AQ220" s="224">
        <v>321.25</v>
      </c>
      <c r="AR220" s="224">
        <v>317</v>
      </c>
      <c r="AS220" s="224">
        <v>323.5</v>
      </c>
      <c r="AT220" s="147">
        <v>260.5</v>
      </c>
      <c r="AU220" s="37">
        <v>1222.25</v>
      </c>
      <c r="AV220" s="224">
        <v>315.95999999999998</v>
      </c>
      <c r="AW220" s="224">
        <v>316.24</v>
      </c>
      <c r="AX220" s="224">
        <v>257.76</v>
      </c>
      <c r="AY220" s="147">
        <v>264.56</v>
      </c>
      <c r="AZ220" s="37">
        <v>1154.52</v>
      </c>
      <c r="BA220" s="224">
        <v>276.86</v>
      </c>
      <c r="BB220" s="224">
        <v>270.52999999999997</v>
      </c>
      <c r="BC220" s="224">
        <v>255.46</v>
      </c>
      <c r="BD220" s="147">
        <v>236.92999999999995</v>
      </c>
      <c r="BE220" s="37">
        <v>1039.78</v>
      </c>
    </row>
    <row r="221" spans="1:57" s="36" customFormat="1" ht="16.2" customHeight="1">
      <c r="A221" s="69" t="s">
        <v>208</v>
      </c>
      <c r="B221" s="37">
        <f>B200+B208</f>
        <v>2260</v>
      </c>
      <c r="C221" s="77">
        <f>C200+C208</f>
        <v>591</v>
      </c>
      <c r="D221" s="77">
        <f>D200+D208</f>
        <v>653</v>
      </c>
      <c r="E221" s="77">
        <f>E200+E208</f>
        <v>642</v>
      </c>
      <c r="F221" s="70">
        <f>G221-E221-D221-C221</f>
        <v>441</v>
      </c>
      <c r="G221" s="37">
        <f>G200+G208</f>
        <v>2327</v>
      </c>
      <c r="H221" s="77">
        <f>H200+H208</f>
        <v>648</v>
      </c>
      <c r="I221" s="77">
        <f>I200+I208</f>
        <v>639</v>
      </c>
      <c r="J221" s="77">
        <f>J200+J208</f>
        <v>675</v>
      </c>
      <c r="K221" s="70">
        <f>L221-J221-I221-H221</f>
        <v>355</v>
      </c>
      <c r="L221" s="37">
        <f>L200+L208</f>
        <v>2317</v>
      </c>
      <c r="M221" s="77">
        <f>M200+M208</f>
        <v>660</v>
      </c>
      <c r="N221" s="77">
        <f>N200+N208</f>
        <v>674</v>
      </c>
      <c r="O221" s="77">
        <f>O200+O208</f>
        <v>727</v>
      </c>
      <c r="P221" s="70">
        <f>Q221-O221-N221-M221</f>
        <v>672</v>
      </c>
      <c r="Q221" s="37">
        <f>Q200+Q208</f>
        <v>2733</v>
      </c>
      <c r="R221" s="77">
        <f>R200+R208</f>
        <v>373</v>
      </c>
      <c r="S221" s="77">
        <f>S200+S208</f>
        <v>688</v>
      </c>
      <c r="T221" s="77">
        <f>T200+T208</f>
        <v>726</v>
      </c>
      <c r="U221" s="70">
        <f>V221-T221-S221-R221</f>
        <v>572</v>
      </c>
      <c r="V221" s="37">
        <f>V200+V208</f>
        <v>2359</v>
      </c>
      <c r="W221" s="77">
        <f>W200+W208</f>
        <v>717</v>
      </c>
      <c r="X221" s="77">
        <f>X200+X208</f>
        <v>615</v>
      </c>
      <c r="Y221" s="77">
        <f>Y200+Y208</f>
        <v>604</v>
      </c>
      <c r="Z221" s="70">
        <f>AA221-Y221-X221-W221</f>
        <v>753</v>
      </c>
      <c r="AA221" s="37">
        <f>AA200+AA208</f>
        <v>2689</v>
      </c>
      <c r="AB221" s="77">
        <f>AB200+AB208</f>
        <v>702</v>
      </c>
      <c r="AC221" s="77">
        <f>AC200+AC208</f>
        <v>678</v>
      </c>
      <c r="AD221" s="77">
        <f>AD200+AD208</f>
        <v>668</v>
      </c>
      <c r="AE221" s="70">
        <f>AF221-AD221-AC221-AB221</f>
        <v>633</v>
      </c>
      <c r="AF221" s="37">
        <v>2681</v>
      </c>
      <c r="AG221" s="77">
        <v>672</v>
      </c>
      <c r="AH221" s="77">
        <v>643</v>
      </c>
      <c r="AI221" s="77">
        <v>676</v>
      </c>
      <c r="AJ221" s="70">
        <v>677</v>
      </c>
      <c r="AK221" s="37">
        <v>2668</v>
      </c>
      <c r="AL221" s="77">
        <v>723</v>
      </c>
      <c r="AM221" s="77">
        <v>842</v>
      </c>
      <c r="AN221" s="77">
        <v>696</v>
      </c>
      <c r="AO221" s="70">
        <v>612</v>
      </c>
      <c r="AP221" s="37">
        <v>2873</v>
      </c>
      <c r="AQ221" s="77">
        <v>719</v>
      </c>
      <c r="AR221" s="77">
        <v>725</v>
      </c>
      <c r="AS221" s="77">
        <v>707</v>
      </c>
      <c r="AT221" s="70">
        <v>642</v>
      </c>
      <c r="AU221" s="37">
        <v>2793</v>
      </c>
      <c r="AV221" s="77">
        <v>693</v>
      </c>
      <c r="AW221" s="77">
        <v>673</v>
      </c>
      <c r="AX221" s="77">
        <v>678</v>
      </c>
      <c r="AY221" s="70">
        <v>655</v>
      </c>
      <c r="AZ221" s="37">
        <v>2699</v>
      </c>
      <c r="BA221" s="77">
        <v>677</v>
      </c>
      <c r="BB221" s="77">
        <v>598</v>
      </c>
      <c r="BC221" s="77">
        <v>669</v>
      </c>
      <c r="BD221" s="70">
        <v>130</v>
      </c>
      <c r="BE221" s="37">
        <v>2074</v>
      </c>
    </row>
    <row r="222" spans="1:57" ht="11.1" customHeight="1">
      <c r="A222" s="71" t="s">
        <v>7</v>
      </c>
      <c r="B222" s="24"/>
      <c r="C222" s="72"/>
      <c r="D222" s="72">
        <f>D221/C221-1</f>
        <v>0.10490693739424706</v>
      </c>
      <c r="E222" s="72">
        <f>E221/D221-1</f>
        <v>-1.6845329249617125E-2</v>
      </c>
      <c r="F222" s="72">
        <f>F221/E221-1</f>
        <v>-0.31308411214953269</v>
      </c>
      <c r="G222" s="24"/>
      <c r="H222" s="72">
        <f>H221/F221-1</f>
        <v>0.46938775510204089</v>
      </c>
      <c r="I222" s="72">
        <f>I221/H221-1</f>
        <v>-1.388888888888884E-2</v>
      </c>
      <c r="J222" s="72">
        <f>J221/I221-1</f>
        <v>5.6338028169014009E-2</v>
      </c>
      <c r="K222" s="72">
        <f>K221/J221-1</f>
        <v>-0.47407407407407409</v>
      </c>
      <c r="L222" s="24"/>
      <c r="M222" s="72">
        <f>M221/K221-1</f>
        <v>0.85915492957746475</v>
      </c>
      <c r="N222" s="72">
        <f>N221/M221-1</f>
        <v>2.1212121212121238E-2</v>
      </c>
      <c r="O222" s="72">
        <f>O221/N221-1</f>
        <v>7.8635014836795358E-2</v>
      </c>
      <c r="P222" s="72">
        <f>P221/O221-1</f>
        <v>-7.5653370013755161E-2</v>
      </c>
      <c r="Q222" s="24"/>
      <c r="R222" s="72">
        <f>R221/P221-1</f>
        <v>-0.44494047619047616</v>
      </c>
      <c r="S222" s="72">
        <f>S221/R221-1</f>
        <v>0.84450402144772108</v>
      </c>
      <c r="T222" s="72">
        <f>T221/S221-1</f>
        <v>5.5232558139534982E-2</v>
      </c>
      <c r="U222" s="72">
        <f>U221/T221-1</f>
        <v>-0.21212121212121215</v>
      </c>
      <c r="V222" s="24"/>
      <c r="W222" s="72">
        <f>W221/U221-1</f>
        <v>0.25349650349650354</v>
      </c>
      <c r="X222" s="72">
        <f>X221/W221-1</f>
        <v>-0.14225941422594146</v>
      </c>
      <c r="Y222" s="72">
        <f>Y221/X221-1</f>
        <v>-1.7886178861788671E-2</v>
      </c>
      <c r="Z222" s="72">
        <f>Z221/Y221-1</f>
        <v>0.2466887417218544</v>
      </c>
      <c r="AA222" s="24"/>
      <c r="AB222" s="72">
        <f>AB221/Z221-1</f>
        <v>-6.7729083665338696E-2</v>
      </c>
      <c r="AC222" s="72">
        <f>AC221/AB221-1</f>
        <v>-3.4188034188034178E-2</v>
      </c>
      <c r="AD222" s="72">
        <f>AD221/AC221-1</f>
        <v>-1.4749262536873142E-2</v>
      </c>
      <c r="AE222" s="72">
        <f>AE221/AD221-1</f>
        <v>-5.239520958083832E-2</v>
      </c>
      <c r="AF222" s="24"/>
      <c r="AG222" s="72">
        <v>6.1611374407583019E-2</v>
      </c>
      <c r="AH222" s="72">
        <v>-4.3154761904761862E-2</v>
      </c>
      <c r="AI222" s="72">
        <v>5.1321928460342114E-2</v>
      </c>
      <c r="AJ222" s="72">
        <v>1.4792899408284654E-3</v>
      </c>
      <c r="AK222" s="24"/>
      <c r="AL222" s="72">
        <v>6.794682422452003E-2</v>
      </c>
      <c r="AM222" s="72">
        <v>0.16459197786998625</v>
      </c>
      <c r="AN222" s="72">
        <v>-0.17339667458432306</v>
      </c>
      <c r="AO222" s="72">
        <v>-0.12068965517241381</v>
      </c>
      <c r="AP222" s="24"/>
      <c r="AQ222" s="72">
        <v>0.17483660130718959</v>
      </c>
      <c r="AR222" s="72">
        <v>8.3449235048678183E-3</v>
      </c>
      <c r="AS222" s="72">
        <v>-2.4827586206896513E-2</v>
      </c>
      <c r="AT222" s="72">
        <v>-9.1937765205091893E-2</v>
      </c>
      <c r="AU222" s="24"/>
      <c r="AV222" s="72">
        <v>7.9439252336448662E-2</v>
      </c>
      <c r="AW222" s="72">
        <v>-2.8860028860028808E-2</v>
      </c>
      <c r="AX222" s="72">
        <v>7.429420505200568E-3</v>
      </c>
      <c r="AY222" s="72">
        <v>-3.3923303834808238E-2</v>
      </c>
      <c r="AZ222" s="24"/>
      <c r="BA222" s="72">
        <v>3.3587786259541952E-2</v>
      </c>
      <c r="BB222" s="72">
        <v>-0.11669128508124071</v>
      </c>
      <c r="BC222" s="72">
        <v>0.11872909698996659</v>
      </c>
      <c r="BD222" s="72">
        <v>-0.8056801195814649</v>
      </c>
      <c r="BE222" s="24"/>
    </row>
    <row r="223" spans="1:57" ht="9.75" customHeight="1">
      <c r="A223" s="71" t="s">
        <v>8</v>
      </c>
      <c r="B223" s="24"/>
      <c r="C223" s="73"/>
      <c r="D223" s="73"/>
      <c r="E223" s="73"/>
      <c r="F223" s="73"/>
      <c r="G223" s="24">
        <f t="shared" ref="G223:AE223" si="154">G221/B221-1</f>
        <v>2.9646017699115124E-2</v>
      </c>
      <c r="H223" s="73">
        <f t="shared" si="154"/>
        <v>9.6446700507614169E-2</v>
      </c>
      <c r="I223" s="73">
        <f t="shared" si="154"/>
        <v>-2.1439509954058189E-2</v>
      </c>
      <c r="J223" s="73">
        <f t="shared" si="154"/>
        <v>5.1401869158878455E-2</v>
      </c>
      <c r="K223" s="73">
        <f t="shared" si="154"/>
        <v>-0.19501133786848068</v>
      </c>
      <c r="L223" s="24">
        <f t="shared" si="154"/>
        <v>-4.2973785990545466E-3</v>
      </c>
      <c r="M223" s="73">
        <f t="shared" si="154"/>
        <v>1.8518518518518601E-2</v>
      </c>
      <c r="N223" s="73">
        <f t="shared" si="154"/>
        <v>5.4773082942096929E-2</v>
      </c>
      <c r="O223" s="73">
        <f t="shared" si="154"/>
        <v>7.7037037037037015E-2</v>
      </c>
      <c r="P223" s="73">
        <f t="shared" si="154"/>
        <v>0.89295774647887316</v>
      </c>
      <c r="Q223" s="24">
        <f t="shared" si="154"/>
        <v>0.17954251186879588</v>
      </c>
      <c r="R223" s="73">
        <f t="shared" si="154"/>
        <v>-0.43484848484848482</v>
      </c>
      <c r="S223" s="73">
        <f t="shared" si="154"/>
        <v>2.0771513353115667E-2</v>
      </c>
      <c r="T223" s="73">
        <f t="shared" si="154"/>
        <v>-1.3755158184318717E-3</v>
      </c>
      <c r="U223" s="73">
        <f t="shared" si="154"/>
        <v>-0.14880952380952384</v>
      </c>
      <c r="V223" s="24">
        <f t="shared" si="154"/>
        <v>-0.13684595682400291</v>
      </c>
      <c r="W223" s="73">
        <f t="shared" si="154"/>
        <v>0.92225201072386054</v>
      </c>
      <c r="X223" s="73">
        <f t="shared" si="154"/>
        <v>-0.10610465116279066</v>
      </c>
      <c r="Y223" s="73">
        <f t="shared" si="154"/>
        <v>-0.16804407713498626</v>
      </c>
      <c r="Z223" s="73">
        <f t="shared" si="154"/>
        <v>0.31643356643356646</v>
      </c>
      <c r="AA223" s="24">
        <f t="shared" si="154"/>
        <v>0.1398897838066977</v>
      </c>
      <c r="AB223" s="73">
        <f t="shared" si="154"/>
        <v>-2.0920502092050208E-2</v>
      </c>
      <c r="AC223" s="73">
        <f t="shared" si="154"/>
        <v>0.10243902439024399</v>
      </c>
      <c r="AD223" s="73">
        <f t="shared" si="154"/>
        <v>0.10596026490066235</v>
      </c>
      <c r="AE223" s="73">
        <f t="shared" si="154"/>
        <v>-0.15936254980079678</v>
      </c>
      <c r="AF223" s="24">
        <v>-2.9750836742283848E-3</v>
      </c>
      <c r="AG223" s="73">
        <v>-4.2735042735042694E-2</v>
      </c>
      <c r="AH223" s="73">
        <v>-5.1622418879056053E-2</v>
      </c>
      <c r="AI223" s="73">
        <v>1.1976047904191711E-2</v>
      </c>
      <c r="AJ223" s="73">
        <v>6.9510268562401167E-2</v>
      </c>
      <c r="AK223" s="24">
        <v>-4.8489369638194946E-3</v>
      </c>
      <c r="AL223" s="73">
        <v>7.5892857142857206E-2</v>
      </c>
      <c r="AM223" s="73">
        <v>0.30948678071539648</v>
      </c>
      <c r="AN223" s="73">
        <v>2.9585798816567976E-2</v>
      </c>
      <c r="AO223" s="73">
        <v>-9.6011816838995623E-2</v>
      </c>
      <c r="AP223" s="24">
        <v>7.6836581709145424E-2</v>
      </c>
      <c r="AQ223" s="73">
        <v>-5.5325034578146415E-3</v>
      </c>
      <c r="AR223" s="73">
        <v>-0.13895486935866985</v>
      </c>
      <c r="AS223" s="73">
        <v>1.5804597701149392E-2</v>
      </c>
      <c r="AT223" s="73">
        <v>4.9019607843137303E-2</v>
      </c>
      <c r="AU223" s="24">
        <v>-2.7845457709711141E-2</v>
      </c>
      <c r="AV223" s="73">
        <v>-3.6161335187760768E-2</v>
      </c>
      <c r="AW223" s="73">
        <v>-7.1724137931034493E-2</v>
      </c>
      <c r="AX223" s="73">
        <v>-4.1018387553040991E-2</v>
      </c>
      <c r="AY223" s="73">
        <v>2.024922118380057E-2</v>
      </c>
      <c r="AZ223" s="24">
        <v>-3.365556749015397E-2</v>
      </c>
      <c r="BA223" s="73">
        <v>-2.3088023088023046E-2</v>
      </c>
      <c r="BB223" s="73">
        <v>-0.11144130757800896</v>
      </c>
      <c r="BC223" s="73">
        <v>-1.3274336283185861E-2</v>
      </c>
      <c r="BD223" s="73">
        <v>-0.80152671755725191</v>
      </c>
      <c r="BE223" s="24">
        <v>-0.23156724712856613</v>
      </c>
    </row>
    <row r="224" spans="1:57" ht="11.25" customHeight="1">
      <c r="A224" s="69" t="s">
        <v>277</v>
      </c>
      <c r="B224" s="24"/>
      <c r="C224" s="73"/>
      <c r="D224" s="73"/>
      <c r="E224" s="73"/>
      <c r="F224" s="73"/>
      <c r="G224" s="24"/>
      <c r="H224" s="73"/>
      <c r="I224" s="73"/>
      <c r="J224" s="73"/>
      <c r="K224" s="73"/>
      <c r="L224" s="24"/>
      <c r="M224" s="73"/>
      <c r="N224" s="73"/>
      <c r="O224" s="73"/>
      <c r="P224" s="73"/>
      <c r="Q224" s="24"/>
      <c r="R224" s="73"/>
      <c r="S224" s="73"/>
      <c r="T224" s="73"/>
      <c r="U224" s="73"/>
      <c r="V224" s="24"/>
      <c r="W224" s="73"/>
      <c r="X224" s="73"/>
      <c r="Y224" s="73"/>
      <c r="Z224" s="73"/>
      <c r="AA224" s="24"/>
      <c r="AB224" s="73"/>
      <c r="AC224" s="73"/>
      <c r="AD224" s="73"/>
      <c r="AE224" s="73"/>
      <c r="AF224" s="24"/>
      <c r="AG224" s="73"/>
      <c r="AH224" s="73"/>
      <c r="AI224" s="73"/>
      <c r="AJ224" s="73"/>
      <c r="AK224" s="24"/>
      <c r="AL224" s="73"/>
      <c r="AM224" s="73"/>
      <c r="AN224" s="73"/>
      <c r="AO224" s="73"/>
      <c r="AP224" s="24"/>
      <c r="AQ224" s="73"/>
      <c r="AR224" s="73"/>
      <c r="AS224" s="73"/>
      <c r="AT224" s="73"/>
      <c r="AU224" s="24"/>
      <c r="AV224" s="73"/>
      <c r="AW224" s="73"/>
      <c r="AX224" s="73"/>
      <c r="AY224" s="73"/>
      <c r="AZ224" s="24"/>
      <c r="BA224" s="77">
        <v>654</v>
      </c>
      <c r="BB224" s="77">
        <v>575</v>
      </c>
      <c r="BC224" s="77">
        <v>646</v>
      </c>
      <c r="BD224" s="186">
        <v>112</v>
      </c>
      <c r="BE224" s="37">
        <v>1987</v>
      </c>
    </row>
    <row r="225" spans="1:57" ht="1.2" customHeight="1">
      <c r="A225" s="71"/>
      <c r="B225" s="24"/>
      <c r="C225" s="73"/>
      <c r="D225" s="73"/>
      <c r="E225" s="73"/>
      <c r="F225" s="73"/>
      <c r="G225" s="24"/>
      <c r="H225" s="73"/>
      <c r="I225" s="73"/>
      <c r="J225" s="73"/>
      <c r="K225" s="73"/>
      <c r="L225" s="24"/>
      <c r="M225" s="73"/>
      <c r="N225" s="73"/>
      <c r="O225" s="73"/>
      <c r="P225" s="73"/>
      <c r="Q225" s="24"/>
      <c r="R225" s="73"/>
      <c r="S225" s="73"/>
      <c r="T225" s="73"/>
      <c r="U225" s="73"/>
      <c r="V225" s="24"/>
      <c r="W225" s="73"/>
      <c r="X225" s="73"/>
      <c r="Y225" s="73"/>
      <c r="Z225" s="73"/>
      <c r="AA225" s="24"/>
      <c r="AB225" s="73"/>
      <c r="AC225" s="73"/>
      <c r="AD225" s="73"/>
      <c r="AE225" s="73"/>
      <c r="AF225" s="24"/>
      <c r="AG225" s="73"/>
      <c r="AH225" s="73"/>
      <c r="AI225" s="73"/>
      <c r="AJ225" s="73"/>
      <c r="AK225" s="24"/>
      <c r="AL225" s="73"/>
      <c r="AM225" s="73"/>
      <c r="AN225" s="73"/>
      <c r="AO225" s="73"/>
      <c r="AP225" s="24"/>
      <c r="AQ225" s="73"/>
      <c r="AR225" s="73"/>
      <c r="AS225" s="73"/>
      <c r="AT225" s="73"/>
      <c r="AU225" s="24"/>
      <c r="AV225" s="73"/>
      <c r="AW225" s="73"/>
      <c r="AX225" s="73"/>
      <c r="AY225" s="73"/>
      <c r="AZ225" s="24"/>
      <c r="BA225" s="73"/>
      <c r="BB225" s="73"/>
      <c r="BC225" s="73"/>
      <c r="BD225" s="73"/>
      <c r="BE225" s="24"/>
    </row>
    <row r="226" spans="1:57" ht="25.2" customHeight="1">
      <c r="A226" s="89" t="s">
        <v>276</v>
      </c>
      <c r="B226" s="37">
        <f>B221+B206</f>
        <v>2299</v>
      </c>
      <c r="C226" s="80" t="s">
        <v>52</v>
      </c>
      <c r="D226" s="80" t="s">
        <v>52</v>
      </c>
      <c r="E226" s="80" t="s">
        <v>52</v>
      </c>
      <c r="F226" s="80" t="s">
        <v>52</v>
      </c>
      <c r="G226" s="37">
        <f>G221+G206</f>
        <v>2423</v>
      </c>
      <c r="H226" s="147">
        <f>H221+H206</f>
        <v>628</v>
      </c>
      <c r="I226" s="147">
        <f>I221+I206</f>
        <v>643</v>
      </c>
      <c r="J226" s="147">
        <f>J221+J206</f>
        <v>637</v>
      </c>
      <c r="K226" s="147">
        <f>L226-J226-I226-H226</f>
        <v>611</v>
      </c>
      <c r="L226" s="37">
        <f>L221+L206</f>
        <v>2519</v>
      </c>
      <c r="M226" s="147">
        <f>M221+M206</f>
        <v>635</v>
      </c>
      <c r="N226" s="147">
        <f>N221+N206</f>
        <v>661</v>
      </c>
      <c r="O226" s="147">
        <f>O221+O206</f>
        <v>668</v>
      </c>
      <c r="P226" s="147">
        <f>Q226-O226-N226-M226</f>
        <v>611</v>
      </c>
      <c r="Q226" s="37">
        <f>Q221+Q206</f>
        <v>2575</v>
      </c>
      <c r="R226" s="147">
        <f>R221+R206</f>
        <v>623</v>
      </c>
      <c r="S226" s="147">
        <f>S221+S206</f>
        <v>626</v>
      </c>
      <c r="T226" s="147">
        <f>T221+T206</f>
        <v>620</v>
      </c>
      <c r="U226" s="147">
        <f>V226-T226-S226-R226</f>
        <v>629</v>
      </c>
      <c r="V226" s="37">
        <f>V221+V206</f>
        <v>2498</v>
      </c>
      <c r="W226" s="147">
        <f>W221+W206</f>
        <v>695</v>
      </c>
      <c r="X226" s="147">
        <f>X221+X206</f>
        <v>631</v>
      </c>
      <c r="Y226" s="147">
        <f>Y221+Y206</f>
        <v>597</v>
      </c>
      <c r="Z226" s="147">
        <f>AA226-Y226-X226-W226</f>
        <v>638</v>
      </c>
      <c r="AA226" s="37">
        <f>AA221+AA206</f>
        <v>2561</v>
      </c>
      <c r="AB226" s="147">
        <f>AB221+AB206</f>
        <v>629</v>
      </c>
      <c r="AC226" s="147">
        <f>AC221+AC206</f>
        <v>661</v>
      </c>
      <c r="AD226" s="147">
        <f>AD221+AD206</f>
        <v>660</v>
      </c>
      <c r="AE226" s="147">
        <f>AF226-AD226-AC226-AB226</f>
        <v>653</v>
      </c>
      <c r="AF226" s="37">
        <v>2603</v>
      </c>
      <c r="AG226" s="147">
        <v>664</v>
      </c>
      <c r="AH226" s="147">
        <v>657</v>
      </c>
      <c r="AI226" s="147">
        <v>651</v>
      </c>
      <c r="AJ226" s="147">
        <v>673</v>
      </c>
      <c r="AK226" s="37">
        <v>2645</v>
      </c>
      <c r="AL226" s="147">
        <v>706</v>
      </c>
      <c r="AM226" s="147">
        <v>703</v>
      </c>
      <c r="AN226" s="147">
        <v>683</v>
      </c>
      <c r="AO226" s="147">
        <v>682</v>
      </c>
      <c r="AP226" s="37">
        <v>2774</v>
      </c>
      <c r="AQ226" s="147">
        <v>710</v>
      </c>
      <c r="AR226" s="147">
        <v>713</v>
      </c>
      <c r="AS226" s="147">
        <v>681</v>
      </c>
      <c r="AT226" s="147">
        <v>676</v>
      </c>
      <c r="AU226" s="37">
        <v>2780</v>
      </c>
      <c r="AV226" s="147">
        <v>689</v>
      </c>
      <c r="AW226" s="147">
        <v>672</v>
      </c>
      <c r="AX226" s="147">
        <v>654</v>
      </c>
      <c r="AY226" s="147">
        <v>661</v>
      </c>
      <c r="AZ226" s="37">
        <v>2676</v>
      </c>
      <c r="BA226" s="147">
        <v>672</v>
      </c>
      <c r="BB226" s="147">
        <v>664</v>
      </c>
      <c r="BC226" s="147">
        <v>644</v>
      </c>
      <c r="BD226" s="147">
        <v>621</v>
      </c>
      <c r="BE226" s="37">
        <v>2601</v>
      </c>
    </row>
    <row r="227" spans="1:57" ht="11.25" customHeight="1">
      <c r="A227" s="71" t="s">
        <v>7</v>
      </c>
      <c r="B227" s="24"/>
      <c r="C227" s="72"/>
      <c r="D227" s="72"/>
      <c r="E227" s="72"/>
      <c r="F227" s="72"/>
      <c r="G227" s="24"/>
      <c r="H227" s="72"/>
      <c r="I227" s="72">
        <f>I226/H226-1</f>
        <v>2.3885350318471277E-2</v>
      </c>
      <c r="J227" s="72">
        <f>J226/I226-1</f>
        <v>-9.3312597200622127E-3</v>
      </c>
      <c r="K227" s="72">
        <f>K226/J226-1</f>
        <v>-4.081632653061229E-2</v>
      </c>
      <c r="L227" s="24"/>
      <c r="M227" s="72">
        <f>M226/K226-1</f>
        <v>3.9279869067103013E-2</v>
      </c>
      <c r="N227" s="72">
        <f>N226/M226-1</f>
        <v>4.0944881889763751E-2</v>
      </c>
      <c r="O227" s="72">
        <f>O226/N226-1</f>
        <v>1.0590015128593144E-2</v>
      </c>
      <c r="P227" s="72">
        <f>P226/O226-1</f>
        <v>-8.5329341317365248E-2</v>
      </c>
      <c r="Q227" s="24"/>
      <c r="R227" s="72">
        <f>R226/P226-1</f>
        <v>1.9639934533551617E-2</v>
      </c>
      <c r="S227" s="72">
        <f>S226/R226-1</f>
        <v>4.8154093097914075E-3</v>
      </c>
      <c r="T227" s="72">
        <f>T226/S226-1</f>
        <v>-9.5846645367412275E-3</v>
      </c>
      <c r="U227" s="72">
        <f>U226/T226-1</f>
        <v>1.4516129032257963E-2</v>
      </c>
      <c r="V227" s="24"/>
      <c r="W227" s="72">
        <f>W226/U226-1</f>
        <v>0.10492845786963434</v>
      </c>
      <c r="X227" s="72">
        <f>X226/W226-1</f>
        <v>-9.2086330935251759E-2</v>
      </c>
      <c r="Y227" s="72">
        <f>Y226/X226-1</f>
        <v>-5.3882725832012701E-2</v>
      </c>
      <c r="Z227" s="72">
        <f>Z226/Y226-1</f>
        <v>6.8676716917922986E-2</v>
      </c>
      <c r="AA227" s="24"/>
      <c r="AB227" s="72">
        <f>AB226/Z226-1</f>
        <v>-1.4106583072100332E-2</v>
      </c>
      <c r="AC227" s="72">
        <f>AC226/AB226-1</f>
        <v>5.0874403815580393E-2</v>
      </c>
      <c r="AD227" s="72">
        <f>AD226/AC226-1</f>
        <v>-1.5128593040847349E-3</v>
      </c>
      <c r="AE227" s="72">
        <f>AE226/AD226-1</f>
        <v>-1.0606060606060619E-2</v>
      </c>
      <c r="AF227" s="24"/>
      <c r="AG227" s="72">
        <v>1.6845329249617125E-2</v>
      </c>
      <c r="AH227" s="72">
        <v>-1.0542168674698815E-2</v>
      </c>
      <c r="AI227" s="72">
        <v>-9.1324200913242004E-3</v>
      </c>
      <c r="AJ227" s="72">
        <v>3.3794162826420893E-2</v>
      </c>
      <c r="AK227" s="24"/>
      <c r="AL227" s="72">
        <v>4.9034175334323971E-2</v>
      </c>
      <c r="AM227" s="72">
        <v>-4.2492917847025691E-3</v>
      </c>
      <c r="AN227" s="72">
        <v>-2.8449502133712667E-2</v>
      </c>
      <c r="AO227" s="72">
        <v>-1.4641288433382416E-3</v>
      </c>
      <c r="AP227" s="24"/>
      <c r="AQ227" s="72">
        <v>4.1055718475073277E-2</v>
      </c>
      <c r="AR227" s="72">
        <v>4.2253521126760507E-3</v>
      </c>
      <c r="AS227" s="72">
        <v>-4.4880785413744739E-2</v>
      </c>
      <c r="AT227" s="72">
        <v>-7.342143906020504E-3</v>
      </c>
      <c r="AU227" s="24"/>
      <c r="AV227" s="72">
        <v>1.9230769230769162E-2</v>
      </c>
      <c r="AW227" s="72">
        <v>-2.4673439767779359E-2</v>
      </c>
      <c r="AX227" s="72">
        <v>-2.6785714285714302E-2</v>
      </c>
      <c r="AY227" s="72">
        <v>1.0703363914372988E-2</v>
      </c>
      <c r="AZ227" s="24"/>
      <c r="BA227" s="72">
        <v>1.6641452344931862E-2</v>
      </c>
      <c r="BB227" s="72">
        <v>-1.1904761904761862E-2</v>
      </c>
      <c r="BC227" s="72">
        <v>-3.0120481927710885E-2</v>
      </c>
      <c r="BD227" s="72">
        <v>-3.5714285714285698E-2</v>
      </c>
      <c r="BE227" s="24"/>
    </row>
    <row r="228" spans="1:57" ht="10.5" customHeight="1">
      <c r="A228" s="71" t="s">
        <v>8</v>
      </c>
      <c r="B228" s="24"/>
      <c r="C228" s="73"/>
      <c r="D228" s="73"/>
      <c r="E228" s="73"/>
      <c r="F228" s="73"/>
      <c r="G228" s="24">
        <f t="shared" ref="G228" si="155">G226/B226-1</f>
        <v>5.3936494127881707E-2</v>
      </c>
      <c r="H228" s="73"/>
      <c r="I228" s="73"/>
      <c r="J228" s="73"/>
      <c r="K228" s="73"/>
      <c r="L228" s="24">
        <f t="shared" ref="L228" si="156">L226/G226-1</f>
        <v>3.962030540652095E-2</v>
      </c>
      <c r="M228" s="73">
        <f t="shared" ref="M228" si="157">M226/H226-1</f>
        <v>1.1146496815286566E-2</v>
      </c>
      <c r="N228" s="73">
        <f t="shared" ref="N228" si="158">N226/I226-1</f>
        <v>2.7993779160186527E-2</v>
      </c>
      <c r="O228" s="73">
        <f t="shared" ref="O228" si="159">O226/J226-1</f>
        <v>4.8665620094191508E-2</v>
      </c>
      <c r="P228" s="73">
        <f t="shared" ref="P228" si="160">P226/K226-1</f>
        <v>0</v>
      </c>
      <c r="Q228" s="24">
        <f t="shared" ref="Q228" si="161">Q226/L226-1</f>
        <v>2.2231044065105232E-2</v>
      </c>
      <c r="R228" s="73">
        <f t="shared" ref="R228" si="162">R226/M226-1</f>
        <v>-1.8897637795275646E-2</v>
      </c>
      <c r="S228" s="73">
        <f t="shared" ref="S228" si="163">S226/N226-1</f>
        <v>-5.2950075642965166E-2</v>
      </c>
      <c r="T228" s="73">
        <f t="shared" ref="T228" si="164">T226/O226-1</f>
        <v>-7.1856287425149712E-2</v>
      </c>
      <c r="U228" s="73">
        <f t="shared" ref="U228" si="165">U226/P226-1</f>
        <v>2.9459901800327426E-2</v>
      </c>
      <c r="V228" s="24">
        <f t="shared" ref="V228" si="166">V226/Q226-1</f>
        <v>-2.9902912621359246E-2</v>
      </c>
      <c r="W228" s="73">
        <f t="shared" ref="W228" si="167">W226/R226-1</f>
        <v>0.115569823434992</v>
      </c>
      <c r="X228" s="73">
        <f t="shared" ref="X228" si="168">X226/S226-1</f>
        <v>7.9872204472843933E-3</v>
      </c>
      <c r="Y228" s="73">
        <f t="shared" ref="Y228" si="169">Y226/T226-1</f>
        <v>-3.7096774193548399E-2</v>
      </c>
      <c r="Z228" s="73">
        <f t="shared" ref="Z228" si="170">Z226/U226-1</f>
        <v>1.4308426073131875E-2</v>
      </c>
      <c r="AA228" s="24">
        <f t="shared" ref="AA228" si="171">AA226/V226-1</f>
        <v>2.5220176140912764E-2</v>
      </c>
      <c r="AB228" s="73">
        <f t="shared" ref="AB228" si="172">AB226/W226-1</f>
        <v>-9.4964028776978404E-2</v>
      </c>
      <c r="AC228" s="73">
        <f t="shared" ref="AC228" si="173">AC226/X226-1</f>
        <v>4.7543581616481756E-2</v>
      </c>
      <c r="AD228" s="73">
        <f t="shared" ref="AD228" si="174">AD226/Y226-1</f>
        <v>0.10552763819095468</v>
      </c>
      <c r="AE228" s="73">
        <f t="shared" ref="AE228" si="175">AE226/Z226-1</f>
        <v>2.3510971786833812E-2</v>
      </c>
      <c r="AF228" s="24">
        <v>1.6399843811011339E-2</v>
      </c>
      <c r="AG228" s="73">
        <v>5.5643879173290944E-2</v>
      </c>
      <c r="AH228" s="73">
        <v>-6.0514372163388286E-3</v>
      </c>
      <c r="AI228" s="73">
        <v>-1.3636363636363669E-2</v>
      </c>
      <c r="AJ228" s="73">
        <v>3.0627871362940207E-2</v>
      </c>
      <c r="AK228" s="24">
        <v>1.6135228582405015E-2</v>
      </c>
      <c r="AL228" s="73">
        <v>6.3253012048192669E-2</v>
      </c>
      <c r="AM228" s="73">
        <v>7.0015220700152314E-2</v>
      </c>
      <c r="AN228" s="73">
        <v>4.9155145929339561E-2</v>
      </c>
      <c r="AO228" s="73">
        <v>1.3372956909361022E-2</v>
      </c>
      <c r="AP228" s="24">
        <v>4.8771266540642788E-2</v>
      </c>
      <c r="AQ228" s="73">
        <v>5.6657223796034994E-3</v>
      </c>
      <c r="AR228" s="73">
        <v>1.4224751066856278E-2</v>
      </c>
      <c r="AS228" s="73">
        <v>-2.9282576866763721E-3</v>
      </c>
      <c r="AT228" s="73">
        <v>-8.7976539589442737E-3</v>
      </c>
      <c r="AU228" s="24">
        <v>2.1629416005768398E-3</v>
      </c>
      <c r="AV228" s="73">
        <v>-2.9577464788732355E-2</v>
      </c>
      <c r="AW228" s="73">
        <v>-5.7503506311360475E-2</v>
      </c>
      <c r="AX228" s="73">
        <v>-3.9647577092510988E-2</v>
      </c>
      <c r="AY228" s="73">
        <v>-2.2189349112425982E-2</v>
      </c>
      <c r="AZ228" s="24">
        <v>-3.7410071942446055E-2</v>
      </c>
      <c r="BA228" s="73">
        <v>-2.4673439767779359E-2</v>
      </c>
      <c r="BB228" s="73">
        <v>-1.1904761904761862E-2</v>
      </c>
      <c r="BC228" s="73">
        <v>-1.5290519877675823E-2</v>
      </c>
      <c r="BD228" s="73">
        <v>-6.0514372163388841E-2</v>
      </c>
      <c r="BE228" s="24">
        <v>-2.8026905829596438E-2</v>
      </c>
    </row>
    <row r="229" spans="1:57">
      <c r="A229" s="40" t="s">
        <v>77</v>
      </c>
      <c r="B229" s="41"/>
      <c r="C229" s="49"/>
      <c r="D229" s="49"/>
      <c r="E229" s="49"/>
      <c r="F229" s="49"/>
      <c r="G229" s="41"/>
      <c r="H229" s="49"/>
      <c r="I229" s="49"/>
      <c r="J229" s="49"/>
      <c r="K229" s="49"/>
      <c r="L229" s="41"/>
      <c r="M229" s="49"/>
      <c r="N229" s="49"/>
      <c r="O229" s="49"/>
      <c r="P229" s="49"/>
      <c r="Q229" s="41"/>
      <c r="R229" s="49"/>
      <c r="S229" s="49"/>
      <c r="T229" s="49"/>
      <c r="U229" s="49"/>
      <c r="V229" s="41"/>
      <c r="W229" s="49"/>
      <c r="X229" s="49"/>
      <c r="Y229" s="49"/>
      <c r="Z229" s="49"/>
      <c r="AA229" s="41"/>
      <c r="AB229" s="49"/>
      <c r="AC229" s="49"/>
      <c r="AD229" s="49"/>
      <c r="AE229" s="49"/>
      <c r="AF229" s="41"/>
      <c r="AG229" s="49"/>
      <c r="AH229" s="49"/>
      <c r="AI229" s="49"/>
      <c r="AJ229" s="49"/>
      <c r="AK229" s="41"/>
      <c r="AL229" s="49"/>
      <c r="AM229" s="49"/>
      <c r="AN229" s="49"/>
      <c r="AO229" s="49"/>
      <c r="AP229" s="41"/>
      <c r="AQ229" s="49"/>
      <c r="AR229" s="49"/>
      <c r="AS229" s="49"/>
      <c r="AT229" s="49"/>
      <c r="AU229" s="41"/>
      <c r="AV229" s="49"/>
      <c r="AW229" s="49"/>
      <c r="AX229" s="49"/>
      <c r="AY229" s="49"/>
      <c r="AZ229" s="41"/>
      <c r="BA229" s="49"/>
      <c r="BB229" s="49"/>
      <c r="BC229" s="49"/>
      <c r="BD229" s="49"/>
      <c r="BE229" s="41"/>
    </row>
    <row r="230" spans="1:57">
      <c r="A230" s="69" t="s">
        <v>12</v>
      </c>
      <c r="B230" s="65">
        <v>1379</v>
      </c>
      <c r="C230" s="80" t="s">
        <v>52</v>
      </c>
      <c r="D230" s="80" t="s">
        <v>52</v>
      </c>
      <c r="E230" s="80" t="s">
        <v>52</v>
      </c>
      <c r="F230" s="80" t="s">
        <v>52</v>
      </c>
      <c r="G230" s="65">
        <v>1691</v>
      </c>
      <c r="H230" s="70">
        <v>635</v>
      </c>
      <c r="I230" s="70">
        <v>408</v>
      </c>
      <c r="J230" s="70">
        <v>526</v>
      </c>
      <c r="K230" s="70">
        <f>L230-J230-I230-H230</f>
        <v>651</v>
      </c>
      <c r="L230" s="65">
        <v>2220</v>
      </c>
      <c r="M230" s="70">
        <v>393</v>
      </c>
      <c r="N230" s="70">
        <v>523</v>
      </c>
      <c r="O230" s="70">
        <v>684</v>
      </c>
      <c r="P230" s="70">
        <f>Q230-O230-N230-M230</f>
        <v>540</v>
      </c>
      <c r="Q230" s="65">
        <v>2140</v>
      </c>
      <c r="R230" s="70">
        <f>419</f>
        <v>419</v>
      </c>
      <c r="S230" s="70">
        <v>496</v>
      </c>
      <c r="T230" s="70">
        <v>641</v>
      </c>
      <c r="U230" s="70">
        <f>V230-T230-S230-R230</f>
        <v>549.93499999999995</v>
      </c>
      <c r="V230" s="65">
        <v>2105.9349999999999</v>
      </c>
      <c r="W230" s="70">
        <v>651</v>
      </c>
      <c r="X230" s="70">
        <v>376</v>
      </c>
      <c r="Y230" s="70">
        <v>470</v>
      </c>
      <c r="Z230" s="70">
        <f>AA230-Y230-X230-W230</f>
        <v>512</v>
      </c>
      <c r="AA230" s="65">
        <v>2009</v>
      </c>
      <c r="AB230" s="70">
        <v>561</v>
      </c>
      <c r="AC230" s="70">
        <v>556</v>
      </c>
      <c r="AD230" s="70">
        <v>631</v>
      </c>
      <c r="AE230" s="70">
        <f>AF230-AD230-AC230-AB230</f>
        <v>526</v>
      </c>
      <c r="AF230" s="65">
        <v>2274</v>
      </c>
      <c r="AG230" s="70">
        <v>616</v>
      </c>
      <c r="AH230" s="70">
        <v>545</v>
      </c>
      <c r="AI230" s="70">
        <v>599</v>
      </c>
      <c r="AJ230" s="70">
        <v>499</v>
      </c>
      <c r="AK230" s="65">
        <v>2259</v>
      </c>
      <c r="AL230" s="70">
        <v>548</v>
      </c>
      <c r="AM230" s="70">
        <v>456</v>
      </c>
      <c r="AN230" s="70">
        <v>686</v>
      </c>
      <c r="AO230" s="70">
        <v>668</v>
      </c>
      <c r="AP230" s="65">
        <v>2358</v>
      </c>
      <c r="AQ230" s="70">
        <v>539</v>
      </c>
      <c r="AR230" s="70">
        <v>517</v>
      </c>
      <c r="AS230" s="70">
        <v>526</v>
      </c>
      <c r="AT230" s="70">
        <v>482</v>
      </c>
      <c r="AU230" s="65">
        <v>2064</v>
      </c>
      <c r="AV230" s="70">
        <v>600</v>
      </c>
      <c r="AW230" s="70">
        <v>465</v>
      </c>
      <c r="AX230" s="70">
        <v>573</v>
      </c>
      <c r="AY230" s="70">
        <v>587</v>
      </c>
      <c r="AZ230" s="65">
        <v>2225</v>
      </c>
      <c r="BA230" s="70">
        <v>516</v>
      </c>
      <c r="BB230" s="70">
        <v>507</v>
      </c>
      <c r="BC230" s="70">
        <v>583</v>
      </c>
      <c r="BD230" s="70">
        <v>600</v>
      </c>
      <c r="BE230" s="65">
        <v>2206</v>
      </c>
    </row>
    <row r="231" spans="1:57" ht="10.199999999999999" customHeight="1">
      <c r="A231" s="71" t="s">
        <v>7</v>
      </c>
      <c r="B231" s="24"/>
      <c r="C231" s="72"/>
      <c r="D231" s="72"/>
      <c r="E231" s="72"/>
      <c r="F231" s="72"/>
      <c r="G231" s="24"/>
      <c r="H231" s="72"/>
      <c r="I231" s="72">
        <f>I230/H230-1</f>
        <v>-0.35748031496062993</v>
      </c>
      <c r="J231" s="72">
        <f>J230/I230-1</f>
        <v>0.28921568627450989</v>
      </c>
      <c r="K231" s="73">
        <f>K230/J230-1</f>
        <v>0.23764258555133089</v>
      </c>
      <c r="L231" s="24"/>
      <c r="M231" s="72">
        <f>M230/K230-1</f>
        <v>-0.39631336405529949</v>
      </c>
      <c r="N231" s="72">
        <f>N230/M230-1</f>
        <v>0.33078880407124678</v>
      </c>
      <c r="O231" s="72">
        <f>O230/N230-1</f>
        <v>0.30783938814531542</v>
      </c>
      <c r="P231" s="72">
        <f>P230/O230-1</f>
        <v>-0.21052631578947367</v>
      </c>
      <c r="Q231" s="24"/>
      <c r="R231" s="72">
        <f>R230/P230-1</f>
        <v>-0.22407407407407409</v>
      </c>
      <c r="S231" s="72">
        <f>S230/R230-1</f>
        <v>0.18377088305489253</v>
      </c>
      <c r="T231" s="72">
        <f>T230/S230-1</f>
        <v>0.29233870967741926</v>
      </c>
      <c r="U231" s="72">
        <f>U230/T230-1</f>
        <v>-0.14206708268330737</v>
      </c>
      <c r="V231" s="24"/>
      <c r="W231" s="72">
        <f>W230/U230-1</f>
        <v>0.18377626446761908</v>
      </c>
      <c r="X231" s="72">
        <f>X230/W230-1</f>
        <v>-0.42242703533026116</v>
      </c>
      <c r="Y231" s="72">
        <f>Y230/X230-1</f>
        <v>0.25</v>
      </c>
      <c r="Z231" s="72">
        <f>Z230/Y230-1</f>
        <v>8.9361702127659592E-2</v>
      </c>
      <c r="AA231" s="24"/>
      <c r="AB231" s="72">
        <f>AB230/Z230-1</f>
        <v>9.5703125E-2</v>
      </c>
      <c r="AC231" s="72">
        <f>AC230/AB230-1</f>
        <v>-8.9126559714794995E-3</v>
      </c>
      <c r="AD231" s="72">
        <f>AD230/AC230-1</f>
        <v>0.1348920863309353</v>
      </c>
      <c r="AE231" s="72">
        <f>AE230/AD230-1</f>
        <v>-0.16640253565768626</v>
      </c>
      <c r="AF231" s="24"/>
      <c r="AG231" s="72">
        <v>0.17110266159695819</v>
      </c>
      <c r="AH231" s="72">
        <v>-0.11525974025974028</v>
      </c>
      <c r="AI231" s="72">
        <v>9.9082568807339344E-2</v>
      </c>
      <c r="AJ231" s="72">
        <v>-0.1669449081803005</v>
      </c>
      <c r="AK231" s="24"/>
      <c r="AL231" s="72">
        <v>9.8196392785571129E-2</v>
      </c>
      <c r="AM231" s="72">
        <v>-0.16788321167883213</v>
      </c>
      <c r="AN231" s="72">
        <v>0.5043859649122806</v>
      </c>
      <c r="AO231" s="72">
        <v>-2.6239067055393583E-2</v>
      </c>
      <c r="AP231" s="24"/>
      <c r="AQ231" s="72">
        <v>-0.19311377245508987</v>
      </c>
      <c r="AR231" s="72">
        <v>-4.081632653061229E-2</v>
      </c>
      <c r="AS231" s="72">
        <v>1.740812379110257E-2</v>
      </c>
      <c r="AT231" s="72">
        <v>-8.365019011406849E-2</v>
      </c>
      <c r="AU231" s="24"/>
      <c r="AV231" s="72">
        <v>0.24481327800829877</v>
      </c>
      <c r="AW231" s="72">
        <v>-0.22499999999999998</v>
      </c>
      <c r="AX231" s="72">
        <v>0.23225806451612896</v>
      </c>
      <c r="AY231" s="72">
        <v>2.4432809773123898E-2</v>
      </c>
      <c r="AZ231" s="24"/>
      <c r="BA231" s="72">
        <v>-0.12095400340715501</v>
      </c>
      <c r="BB231" s="72">
        <v>-1.744186046511631E-2</v>
      </c>
      <c r="BC231" s="72">
        <v>0.14990138067061154</v>
      </c>
      <c r="BD231" s="72">
        <v>2.9159519725557415E-2</v>
      </c>
      <c r="BE231" s="24"/>
    </row>
    <row r="232" spans="1:57" ht="11.1" customHeight="1">
      <c r="A232" s="71" t="s">
        <v>8</v>
      </c>
      <c r="B232" s="24"/>
      <c r="C232" s="73"/>
      <c r="D232" s="73"/>
      <c r="E232" s="73"/>
      <c r="F232" s="73"/>
      <c r="G232" s="24">
        <f>G230/B230-1</f>
        <v>0.22625090645395218</v>
      </c>
      <c r="H232" s="73"/>
      <c r="I232" s="73"/>
      <c r="J232" s="73"/>
      <c r="L232" s="24">
        <f t="shared" ref="L232:R232" si="176">L230/G230-1</f>
        <v>0.31283264340626848</v>
      </c>
      <c r="M232" s="73">
        <f t="shared" si="176"/>
        <v>-0.38110236220472438</v>
      </c>
      <c r="N232" s="73">
        <f t="shared" si="176"/>
        <v>0.28186274509803932</v>
      </c>
      <c r="O232" s="73">
        <f t="shared" si="176"/>
        <v>0.30038022813688214</v>
      </c>
      <c r="P232" s="73">
        <f t="shared" si="176"/>
        <v>-0.17050691244239635</v>
      </c>
      <c r="Q232" s="24">
        <f t="shared" si="176"/>
        <v>-3.6036036036036001E-2</v>
      </c>
      <c r="R232" s="73">
        <f t="shared" si="176"/>
        <v>6.61577608142494E-2</v>
      </c>
      <c r="S232" s="73">
        <f t="shared" ref="S232:Y232" si="177">S230/N230-1</f>
        <v>-5.1625239005736123E-2</v>
      </c>
      <c r="T232" s="73">
        <f t="shared" si="177"/>
        <v>-6.2865497076023402E-2</v>
      </c>
      <c r="U232" s="73">
        <f t="shared" si="177"/>
        <v>1.8398148148148108E-2</v>
      </c>
      <c r="V232" s="24">
        <f t="shared" si="177"/>
        <v>-1.591822429906542E-2</v>
      </c>
      <c r="W232" s="73">
        <f t="shared" si="177"/>
        <v>0.55369928400954649</v>
      </c>
      <c r="X232" s="73">
        <f t="shared" si="177"/>
        <v>-0.24193548387096775</v>
      </c>
      <c r="Y232" s="73">
        <f t="shared" si="177"/>
        <v>-0.26677067082683303</v>
      </c>
      <c r="Z232" s="73">
        <f t="shared" ref="Z232:AE232" si="178">Z230/U230-1</f>
        <v>-6.8980879558493191E-2</v>
      </c>
      <c r="AA232" s="24">
        <f t="shared" si="178"/>
        <v>-4.6029435856282386E-2</v>
      </c>
      <c r="AB232" s="73">
        <f t="shared" si="178"/>
        <v>-0.13824884792626724</v>
      </c>
      <c r="AC232" s="73">
        <f t="shared" si="178"/>
        <v>0.47872340425531923</v>
      </c>
      <c r="AD232" s="73">
        <f t="shared" si="178"/>
        <v>0.34255319148936181</v>
      </c>
      <c r="AE232" s="73">
        <f t="shared" si="178"/>
        <v>2.734375E-2</v>
      </c>
      <c r="AF232" s="24">
        <v>0.13190642110502737</v>
      </c>
      <c r="AG232" s="73">
        <v>9.8039215686274606E-2</v>
      </c>
      <c r="AH232" s="73">
        <v>-1.9784172661870492E-2</v>
      </c>
      <c r="AI232" s="73">
        <v>-5.0713153724247229E-2</v>
      </c>
      <c r="AJ232" s="73">
        <v>-5.1330798479087503E-2</v>
      </c>
      <c r="AK232" s="24">
        <v>-6.5963060686016206E-3</v>
      </c>
      <c r="AL232" s="73">
        <v>-0.11038961038961037</v>
      </c>
      <c r="AM232" s="73">
        <v>-0.16330275229357794</v>
      </c>
      <c r="AN232" s="73">
        <v>0.14524207011686152</v>
      </c>
      <c r="AO232" s="73">
        <v>0.33867735470941884</v>
      </c>
      <c r="AP232" s="24">
        <v>4.3824701195219085E-2</v>
      </c>
      <c r="AQ232" s="73">
        <v>-1.6423357664233529E-2</v>
      </c>
      <c r="AR232" s="73">
        <v>0.13377192982456143</v>
      </c>
      <c r="AS232" s="73">
        <v>-0.23323615160349853</v>
      </c>
      <c r="AT232" s="73">
        <v>-0.27844311377245512</v>
      </c>
      <c r="AU232" s="24">
        <v>-0.12468193384223913</v>
      </c>
      <c r="AV232" s="73">
        <v>0.1131725417439704</v>
      </c>
      <c r="AW232" s="73">
        <v>-0.10058027079303677</v>
      </c>
      <c r="AX232" s="73">
        <v>8.9353612167300422E-2</v>
      </c>
      <c r="AY232" s="73">
        <v>0.21784232365145217</v>
      </c>
      <c r="AZ232" s="24">
        <v>7.8003875968992276E-2</v>
      </c>
      <c r="BA232" s="73">
        <v>-0.14000000000000001</v>
      </c>
      <c r="BB232" s="73">
        <v>9.0322580645161299E-2</v>
      </c>
      <c r="BC232" s="73">
        <v>1.7452006980802848E-2</v>
      </c>
      <c r="BD232" s="73">
        <v>2.2146507666098714E-2</v>
      </c>
      <c r="BE232" s="24">
        <v>-8.5393258426966767E-3</v>
      </c>
    </row>
    <row r="233" spans="1:57" hidden="1">
      <c r="A233" s="69" t="s">
        <v>49</v>
      </c>
      <c r="B233" s="37">
        <v>513</v>
      </c>
      <c r="C233" s="70">
        <v>128</v>
      </c>
      <c r="D233" s="70">
        <v>139</v>
      </c>
      <c r="E233" s="70">
        <v>112</v>
      </c>
      <c r="F233" s="70">
        <f>G233-E233-D233-C233</f>
        <v>221</v>
      </c>
      <c r="G233" s="37">
        <f>554+46</f>
        <v>600</v>
      </c>
      <c r="H233" s="70">
        <v>210</v>
      </c>
      <c r="I233" s="70">
        <v>209</v>
      </c>
      <c r="J233" s="70">
        <v>191</v>
      </c>
      <c r="K233" s="70">
        <f>L233-J233-I233-H233</f>
        <v>234</v>
      </c>
      <c r="L233" s="37">
        <v>844</v>
      </c>
      <c r="M233" s="70">
        <v>228</v>
      </c>
      <c r="N233" s="70">
        <v>269</v>
      </c>
      <c r="O233" s="70">
        <v>250</v>
      </c>
      <c r="P233" s="70">
        <v>294</v>
      </c>
      <c r="Q233" s="37">
        <f>P233+O233+N233+M233</f>
        <v>1041</v>
      </c>
      <c r="R233" s="70">
        <v>340</v>
      </c>
      <c r="S233" s="70">
        <v>310</v>
      </c>
      <c r="T233" s="70">
        <v>243</v>
      </c>
      <c r="U233" s="70">
        <f>V233-T233-S233-R233</f>
        <v>281</v>
      </c>
      <c r="V233" s="37">
        <v>1174</v>
      </c>
      <c r="W233" s="70">
        <v>262</v>
      </c>
      <c r="X233" s="70">
        <v>239</v>
      </c>
      <c r="Y233" s="70">
        <v>238</v>
      </c>
      <c r="Z233" s="70">
        <v>206</v>
      </c>
      <c r="AA233" s="37">
        <f>Z233+Y233+X233+W233</f>
        <v>945</v>
      </c>
      <c r="AB233" s="70">
        <v>164</v>
      </c>
      <c r="AC233" s="70">
        <v>197</v>
      </c>
      <c r="AD233" s="70">
        <v>191</v>
      </c>
      <c r="AE233" s="70">
        <v>225</v>
      </c>
      <c r="AF233" s="37">
        <v>777</v>
      </c>
      <c r="AG233" s="70">
        <v>215</v>
      </c>
      <c r="AH233" s="70">
        <v>215</v>
      </c>
      <c r="AI233" s="70">
        <v>198</v>
      </c>
      <c r="AJ233" s="70">
        <v>207</v>
      </c>
      <c r="AK233" s="37">
        <v>835</v>
      </c>
      <c r="AL233" s="70">
        <v>228</v>
      </c>
      <c r="AM233" s="70">
        <v>203</v>
      </c>
      <c r="AN233" s="70">
        <v>208</v>
      </c>
      <c r="AO233" s="70">
        <v>198</v>
      </c>
      <c r="AP233" s="37">
        <v>837</v>
      </c>
      <c r="AQ233" s="70">
        <v>222</v>
      </c>
      <c r="AR233" s="70">
        <v>203</v>
      </c>
      <c r="AS233" s="70">
        <v>204</v>
      </c>
      <c r="AT233" s="70"/>
      <c r="AU233" s="37"/>
      <c r="AV233" s="70">
        <v>222</v>
      </c>
      <c r="AW233" s="70">
        <v>222</v>
      </c>
      <c r="AX233" s="70">
        <v>222</v>
      </c>
      <c r="AY233" s="70"/>
      <c r="AZ233" s="37"/>
      <c r="BA233" s="70">
        <v>222</v>
      </c>
      <c r="BB233" s="70">
        <v>222</v>
      </c>
      <c r="BC233" s="70">
        <v>222</v>
      </c>
      <c r="BD233" s="70"/>
      <c r="BE233" s="37"/>
    </row>
    <row r="234" spans="1:57" hidden="1">
      <c r="A234" s="71" t="s">
        <v>7</v>
      </c>
      <c r="B234" s="24"/>
      <c r="C234" s="72"/>
      <c r="D234" s="72">
        <f>D233/C233-1</f>
        <v>8.59375E-2</v>
      </c>
      <c r="E234" s="72">
        <f>E233/D233-1</f>
        <v>-0.19424460431654678</v>
      </c>
      <c r="F234" s="72">
        <f>F233/E233-1</f>
        <v>0.97321428571428581</v>
      </c>
      <c r="G234" s="24"/>
      <c r="H234" s="72">
        <f>H233/F233-1</f>
        <v>-4.9773755656108642E-2</v>
      </c>
      <c r="I234" s="72">
        <f>I233/H233-1</f>
        <v>-4.761904761904745E-3</v>
      </c>
      <c r="J234" s="72">
        <f>J233/I233-1</f>
        <v>-8.6124401913875603E-2</v>
      </c>
      <c r="K234" s="72">
        <f>K233/J233-1</f>
        <v>0.22513089005235609</v>
      </c>
      <c r="L234" s="24"/>
      <c r="M234" s="72">
        <f>M233/K233-1</f>
        <v>-2.5641025641025661E-2</v>
      </c>
      <c r="N234" s="72">
        <f>N233/M233-1</f>
        <v>0.17982456140350878</v>
      </c>
      <c r="O234" s="72">
        <f>O233/N233-1</f>
        <v>-7.0631970260223054E-2</v>
      </c>
      <c r="P234" s="72">
        <f>P233/O233-1</f>
        <v>0.17599999999999993</v>
      </c>
      <c r="Q234" s="24"/>
      <c r="R234" s="72">
        <f>R233/P233-1</f>
        <v>0.15646258503401356</v>
      </c>
      <c r="S234" s="72">
        <f>S233/R233-1</f>
        <v>-8.8235294117647078E-2</v>
      </c>
      <c r="T234" s="72">
        <f>T233/S233-1</f>
        <v>-0.21612903225806457</v>
      </c>
      <c r="U234" s="72">
        <f>U233/T233-1</f>
        <v>0.15637860082304522</v>
      </c>
      <c r="V234" s="24"/>
      <c r="W234" s="72">
        <f>W233/U233-1</f>
        <v>-6.7615658362989328E-2</v>
      </c>
      <c r="X234" s="72">
        <f>X233/W233-1</f>
        <v>-8.7786259541984712E-2</v>
      </c>
      <c r="Y234" s="72">
        <f>Y233/X233-1</f>
        <v>-4.1841004184099972E-3</v>
      </c>
      <c r="Z234" s="72">
        <f>Z233/Y233-1</f>
        <v>-0.13445378151260501</v>
      </c>
      <c r="AA234" s="24"/>
      <c r="AB234" s="72">
        <f>AB233/Z233-1</f>
        <v>-0.20388349514563109</v>
      </c>
      <c r="AC234" s="72">
        <f>AC233/AB233-1</f>
        <v>0.20121951219512191</v>
      </c>
      <c r="AD234" s="72">
        <f>AD233/AC233-1</f>
        <v>-3.0456852791878153E-2</v>
      </c>
      <c r="AE234" s="72">
        <f>AE233/AD233-1</f>
        <v>0.17801047120418856</v>
      </c>
      <c r="AF234" s="24"/>
      <c r="AG234" s="72">
        <v>-4.4444444444444398E-2</v>
      </c>
      <c r="AH234" s="72">
        <v>0</v>
      </c>
      <c r="AI234" s="72">
        <v>-7.906976744186045E-2</v>
      </c>
      <c r="AJ234" s="72">
        <v>4.5454545454545414E-2</v>
      </c>
      <c r="AK234" s="24"/>
      <c r="AL234" s="72">
        <v>0.10144927536231885</v>
      </c>
      <c r="AM234" s="72">
        <v>-0.10964912280701755</v>
      </c>
      <c r="AN234" s="72">
        <v>2.4630541871921263E-2</v>
      </c>
      <c r="AO234" s="72">
        <v>-4.8076923076923128E-2</v>
      </c>
      <c r="AP234" s="24"/>
      <c r="AQ234" s="72">
        <v>0.1212121212121211</v>
      </c>
      <c r="AR234" s="72">
        <v>-8.55855855855856E-2</v>
      </c>
      <c r="AS234" s="72">
        <v>4.9261083743843415E-3</v>
      </c>
      <c r="AT234" s="72"/>
      <c r="AU234" s="24"/>
      <c r="AV234" s="72" t="e">
        <v>#DIV/0!</v>
      </c>
      <c r="AW234" s="72" t="e">
        <v>#DIV/0!</v>
      </c>
      <c r="AX234" s="72">
        <v>0</v>
      </c>
      <c r="AY234" s="72"/>
      <c r="AZ234" s="24"/>
      <c r="BA234" s="72" t="e">
        <v>#DIV/0!</v>
      </c>
      <c r="BB234" s="72" t="e">
        <v>#DIV/0!</v>
      </c>
      <c r="BC234" s="72">
        <v>0</v>
      </c>
      <c r="BD234" s="72"/>
      <c r="BE234" s="24"/>
    </row>
    <row r="235" spans="1:57" hidden="1">
      <c r="A235" s="71" t="s">
        <v>8</v>
      </c>
      <c r="B235" s="24"/>
      <c r="C235" s="73"/>
      <c r="D235" s="73"/>
      <c r="E235" s="73"/>
      <c r="F235" s="73"/>
      <c r="G235" s="24">
        <f t="shared" ref="G235:N235" si="179">G233/B233-1</f>
        <v>0.16959064327485374</v>
      </c>
      <c r="H235" s="73">
        <f t="shared" si="179"/>
        <v>0.640625</v>
      </c>
      <c r="I235" s="73">
        <f t="shared" si="179"/>
        <v>0.50359712230215825</v>
      </c>
      <c r="J235" s="73">
        <f t="shared" si="179"/>
        <v>0.70535714285714279</v>
      </c>
      <c r="K235" s="73">
        <f t="shared" si="179"/>
        <v>5.8823529411764719E-2</v>
      </c>
      <c r="L235" s="24">
        <f t="shared" si="179"/>
        <v>0.40666666666666673</v>
      </c>
      <c r="M235" s="73">
        <f t="shared" si="179"/>
        <v>8.5714285714285632E-2</v>
      </c>
      <c r="N235" s="73">
        <f t="shared" si="179"/>
        <v>0.2870813397129186</v>
      </c>
      <c r="O235" s="73">
        <f t="shared" ref="O235:Y235" si="180">O233/J233-1</f>
        <v>0.30890052356020936</v>
      </c>
      <c r="P235" s="73">
        <f t="shared" si="180"/>
        <v>0.25641025641025639</v>
      </c>
      <c r="Q235" s="24">
        <f t="shared" si="180"/>
        <v>0.23341232227488162</v>
      </c>
      <c r="R235" s="73">
        <f t="shared" si="180"/>
        <v>0.49122807017543857</v>
      </c>
      <c r="S235" s="73">
        <f t="shared" si="180"/>
        <v>0.15241635687732336</v>
      </c>
      <c r="T235" s="73">
        <f t="shared" si="180"/>
        <v>-2.8000000000000025E-2</v>
      </c>
      <c r="U235" s="73">
        <f t="shared" si="180"/>
        <v>-4.4217687074829981E-2</v>
      </c>
      <c r="V235" s="24">
        <f t="shared" si="180"/>
        <v>0.12776176753121993</v>
      </c>
      <c r="W235" s="73">
        <f t="shared" si="180"/>
        <v>-0.22941176470588232</v>
      </c>
      <c r="X235" s="73">
        <f t="shared" si="180"/>
        <v>-0.2290322580645161</v>
      </c>
      <c r="Y235" s="73">
        <f t="shared" si="180"/>
        <v>-2.0576131687242816E-2</v>
      </c>
      <c r="Z235" s="73">
        <f t="shared" ref="Z235:AE235" si="181">Z233/U233-1</f>
        <v>-0.26690391459074736</v>
      </c>
      <c r="AA235" s="24">
        <f t="shared" si="181"/>
        <v>-0.19505962521294717</v>
      </c>
      <c r="AB235" s="73">
        <f t="shared" si="181"/>
        <v>-0.37404580152671751</v>
      </c>
      <c r="AC235" s="73">
        <f t="shared" si="181"/>
        <v>-0.17573221757322177</v>
      </c>
      <c r="AD235" s="73">
        <f t="shared" si="181"/>
        <v>-0.19747899159663862</v>
      </c>
      <c r="AE235" s="73">
        <f t="shared" si="181"/>
        <v>9.2233009708737823E-2</v>
      </c>
      <c r="AF235" s="24">
        <v>-0.17777777777777781</v>
      </c>
      <c r="AG235" s="73">
        <v>0.31097560975609762</v>
      </c>
      <c r="AH235" s="73">
        <v>9.137055837563457E-2</v>
      </c>
      <c r="AI235" s="73">
        <v>3.6649214659685958E-2</v>
      </c>
      <c r="AJ235" s="73">
        <v>-7.999999999999996E-2</v>
      </c>
      <c r="AK235" s="24">
        <v>7.4646074646074645E-2</v>
      </c>
      <c r="AL235" s="73">
        <v>6.0465116279069697E-2</v>
      </c>
      <c r="AM235" s="73">
        <v>-5.5813953488372148E-2</v>
      </c>
      <c r="AN235" s="73">
        <v>5.0505050505050608E-2</v>
      </c>
      <c r="AO235" s="73">
        <v>-4.3478260869565188E-2</v>
      </c>
      <c r="AP235" s="24">
        <v>2.3952095808383866E-3</v>
      </c>
      <c r="AQ235" s="73">
        <v>-2.6315789473684181E-2</v>
      </c>
      <c r="AR235" s="73">
        <v>0</v>
      </c>
      <c r="AS235" s="73">
        <v>-1.9230769230769273E-2</v>
      </c>
      <c r="AT235" s="73"/>
      <c r="AU235" s="24"/>
      <c r="AV235" s="73">
        <v>0</v>
      </c>
      <c r="AW235" s="73">
        <v>9.3596059113300489E-2</v>
      </c>
      <c r="AX235" s="73">
        <v>8.8235294117646967E-2</v>
      </c>
      <c r="AY235" s="73"/>
      <c r="AZ235" s="24"/>
      <c r="BA235" s="73">
        <v>0</v>
      </c>
      <c r="BB235" s="73">
        <v>0</v>
      </c>
      <c r="BC235" s="73">
        <v>0</v>
      </c>
      <c r="BD235" s="73"/>
      <c r="BE235" s="24"/>
    </row>
    <row r="236" spans="1:57">
      <c r="A236" s="69" t="s">
        <v>50</v>
      </c>
      <c r="B236" s="65">
        <f>93+412</f>
        <v>505</v>
      </c>
      <c r="C236" s="70">
        <v>158</v>
      </c>
      <c r="D236" s="70">
        <v>132</v>
      </c>
      <c r="E236" s="70">
        <v>156</v>
      </c>
      <c r="F236" s="70">
        <f>G236-E236-D236-C236</f>
        <v>170</v>
      </c>
      <c r="G236" s="65">
        <f>98+518</f>
        <v>616</v>
      </c>
      <c r="H236" s="70">
        <f>216+22</f>
        <v>238</v>
      </c>
      <c r="I236" s="70">
        <f>152+39</f>
        <v>191</v>
      </c>
      <c r="J236" s="70">
        <v>204</v>
      </c>
      <c r="K236" s="70">
        <f>L236-J236-I236-H236</f>
        <v>220</v>
      </c>
      <c r="L236" s="65">
        <f>133+720</f>
        <v>853</v>
      </c>
      <c r="M236" s="70">
        <f>33+205</f>
        <v>238</v>
      </c>
      <c r="N236" s="70">
        <f>215+32</f>
        <v>247</v>
      </c>
      <c r="O236" s="70">
        <f>40+205</f>
        <v>245</v>
      </c>
      <c r="P236" s="70">
        <f>Q236-O236-N236-M236</f>
        <v>302</v>
      </c>
      <c r="Q236" s="65">
        <f>156+876</f>
        <v>1032</v>
      </c>
      <c r="R236" s="70">
        <f>289+30</f>
        <v>319</v>
      </c>
      <c r="S236" s="70">
        <v>319</v>
      </c>
      <c r="T236" s="70">
        <f>41+227</f>
        <v>268</v>
      </c>
      <c r="U236" s="70">
        <f>V236-T236-S236-R236</f>
        <v>259</v>
      </c>
      <c r="V236" s="65">
        <f>167+998</f>
        <v>1165</v>
      </c>
      <c r="W236" s="70">
        <f>36+233</f>
        <v>269</v>
      </c>
      <c r="X236" s="70">
        <f>34+204</f>
        <v>238</v>
      </c>
      <c r="Y236" s="70">
        <f>33+216</f>
        <v>249</v>
      </c>
      <c r="Z236" s="70">
        <f>AA236-Y236-X236-W236</f>
        <v>202</v>
      </c>
      <c r="AA236" s="65">
        <f>136+822</f>
        <v>958</v>
      </c>
      <c r="AB236" s="70">
        <f>21+162</f>
        <v>183</v>
      </c>
      <c r="AC236" s="70">
        <f>20+166</f>
        <v>186</v>
      </c>
      <c r="AD236" s="70">
        <f>22+176</f>
        <v>198</v>
      </c>
      <c r="AE236" s="70">
        <f>AF236-AD236-AC236-AB236</f>
        <v>222</v>
      </c>
      <c r="AF236" s="65">
        <v>789</v>
      </c>
      <c r="AG236" s="70">
        <v>210</v>
      </c>
      <c r="AH236" s="70">
        <v>207</v>
      </c>
      <c r="AI236" s="70">
        <v>210</v>
      </c>
      <c r="AJ236" s="70">
        <v>195</v>
      </c>
      <c r="AK236" s="65">
        <v>822</v>
      </c>
      <c r="AL236" s="70">
        <v>231</v>
      </c>
      <c r="AM236" s="70">
        <v>191</v>
      </c>
      <c r="AN236" s="70">
        <v>230</v>
      </c>
      <c r="AO236" s="70">
        <v>197</v>
      </c>
      <c r="AP236" s="65">
        <v>849</v>
      </c>
      <c r="AQ236" s="70">
        <v>195</v>
      </c>
      <c r="AR236" s="70">
        <v>227</v>
      </c>
      <c r="AS236" s="70">
        <v>207</v>
      </c>
      <c r="AT236" s="70">
        <v>205</v>
      </c>
      <c r="AU236" s="65">
        <v>834</v>
      </c>
      <c r="AV236" s="70">
        <v>210</v>
      </c>
      <c r="AW236" s="70">
        <v>219</v>
      </c>
      <c r="AX236" s="70">
        <v>170</v>
      </c>
      <c r="AY236" s="70">
        <v>226</v>
      </c>
      <c r="AZ236" s="65">
        <v>825</v>
      </c>
      <c r="BA236" s="70">
        <v>205</v>
      </c>
      <c r="BB236" s="70">
        <v>313</v>
      </c>
      <c r="BC236" s="70">
        <v>233</v>
      </c>
      <c r="BD236" s="70">
        <v>225</v>
      </c>
      <c r="BE236" s="65">
        <v>976</v>
      </c>
    </row>
    <row r="237" spans="1:57">
      <c r="A237" s="71" t="s">
        <v>7</v>
      </c>
      <c r="B237" s="24"/>
      <c r="C237" s="72"/>
      <c r="D237" s="72">
        <f>D236/C236-1</f>
        <v>-0.16455696202531644</v>
      </c>
      <c r="E237" s="72">
        <f>E236/D236-1</f>
        <v>0.18181818181818188</v>
      </c>
      <c r="F237" s="72">
        <f>F236/E236-1</f>
        <v>8.9743589743589647E-2</v>
      </c>
      <c r="G237" s="24"/>
      <c r="H237" s="72">
        <f>H236/F236-1</f>
        <v>0.39999999999999991</v>
      </c>
      <c r="I237" s="72">
        <f>I236/H236-1</f>
        <v>-0.19747899159663862</v>
      </c>
      <c r="J237" s="72">
        <f>J236/I236-1</f>
        <v>6.8062827225130906E-2</v>
      </c>
      <c r="K237" s="72">
        <f>K236/J236-1</f>
        <v>7.8431372549019551E-2</v>
      </c>
      <c r="L237" s="24"/>
      <c r="M237" s="72">
        <f>M236/K236-1</f>
        <v>8.181818181818179E-2</v>
      </c>
      <c r="N237" s="72">
        <f>N236/M236-1</f>
        <v>3.7815126050420256E-2</v>
      </c>
      <c r="O237" s="72">
        <f>O236/N236-1</f>
        <v>-8.0971659919027994E-3</v>
      </c>
      <c r="P237" s="72">
        <f>P236/O236-1</f>
        <v>0.2326530612244897</v>
      </c>
      <c r="Q237" s="24"/>
      <c r="R237" s="72">
        <f>R236/P236-1</f>
        <v>5.6291390728476776E-2</v>
      </c>
      <c r="S237" s="72">
        <f>S236/R236-1</f>
        <v>0</v>
      </c>
      <c r="T237" s="72">
        <f>T236/S236-1</f>
        <v>-0.15987460815047017</v>
      </c>
      <c r="U237" s="72">
        <f>U236/T236-1</f>
        <v>-3.3582089552238847E-2</v>
      </c>
      <c r="V237" s="24"/>
      <c r="W237" s="72">
        <f>W236/U236-1</f>
        <v>3.8610038610038533E-2</v>
      </c>
      <c r="X237" s="72">
        <f>X236/W236-1</f>
        <v>-0.11524163568773238</v>
      </c>
      <c r="Y237" s="72">
        <f>Y236/X236-1</f>
        <v>4.6218487394958041E-2</v>
      </c>
      <c r="Z237" s="72">
        <f>Z236/Y236-1</f>
        <v>-0.1887550200803213</v>
      </c>
      <c r="AA237" s="24"/>
      <c r="AB237" s="72">
        <f>AB236/Z236-1</f>
        <v>-9.4059405940594032E-2</v>
      </c>
      <c r="AC237" s="72">
        <f>AC236/AB236-1</f>
        <v>1.6393442622950838E-2</v>
      </c>
      <c r="AD237" s="72">
        <f>AD236/AC236-1</f>
        <v>6.4516129032258007E-2</v>
      </c>
      <c r="AE237" s="72">
        <f>AE236/AD236-1</f>
        <v>0.1212121212121211</v>
      </c>
      <c r="AF237" s="24"/>
      <c r="AG237" s="72">
        <v>-5.4054054054054057E-2</v>
      </c>
      <c r="AH237" s="72">
        <v>-1.4285714285714235E-2</v>
      </c>
      <c r="AI237" s="72">
        <v>1.449275362318847E-2</v>
      </c>
      <c r="AJ237" s="72">
        <v>-7.1428571428571397E-2</v>
      </c>
      <c r="AK237" s="24"/>
      <c r="AL237" s="72">
        <v>0.18461538461538463</v>
      </c>
      <c r="AM237" s="72">
        <v>-0.17316017316017318</v>
      </c>
      <c r="AN237" s="72">
        <v>0.20418848167539272</v>
      </c>
      <c r="AO237" s="72">
        <v>-0.14347826086956517</v>
      </c>
      <c r="AP237" s="24"/>
      <c r="AQ237" s="72">
        <v>-1.0152284263959421E-2</v>
      </c>
      <c r="AR237" s="72">
        <v>0.16410256410256419</v>
      </c>
      <c r="AS237" s="72">
        <v>-8.8105726872246715E-2</v>
      </c>
      <c r="AT237" s="72">
        <v>-9.6618357487923134E-3</v>
      </c>
      <c r="AU237" s="24"/>
      <c r="AV237" s="72">
        <v>2.4390243902439046E-2</v>
      </c>
      <c r="AW237" s="72">
        <v>4.2857142857142927E-2</v>
      </c>
      <c r="AX237" s="72">
        <v>-0.22374429223744297</v>
      </c>
      <c r="AY237" s="72">
        <v>0.32941176470588229</v>
      </c>
      <c r="AZ237" s="24"/>
      <c r="BA237" s="72">
        <v>-9.2920353982300918E-2</v>
      </c>
      <c r="BB237" s="72">
        <v>0.52682926829268295</v>
      </c>
      <c r="BC237" s="72">
        <v>-0.25559105431309903</v>
      </c>
      <c r="BD237" s="72">
        <v>-3.4334763948497882E-2</v>
      </c>
      <c r="BE237" s="24"/>
    </row>
    <row r="238" spans="1:57" ht="9.6" customHeight="1">
      <c r="A238" s="71" t="s">
        <v>8</v>
      </c>
      <c r="B238" s="24"/>
      <c r="C238" s="73"/>
      <c r="D238" s="73"/>
      <c r="E238" s="73"/>
      <c r="F238" s="73"/>
      <c r="G238" s="24">
        <f t="shared" ref="G238:N238" si="182">G236/B236-1</f>
        <v>0.21980198019801978</v>
      </c>
      <c r="H238" s="73">
        <f t="shared" si="182"/>
        <v>0.50632911392405067</v>
      </c>
      <c r="I238" s="73">
        <f t="shared" si="182"/>
        <v>0.44696969696969702</v>
      </c>
      <c r="J238" s="73">
        <f t="shared" si="182"/>
        <v>0.30769230769230771</v>
      </c>
      <c r="K238" s="73">
        <f t="shared" si="182"/>
        <v>0.29411764705882359</v>
      </c>
      <c r="L238" s="24">
        <f t="shared" si="182"/>
        <v>0.38474025974025983</v>
      </c>
      <c r="M238" s="73">
        <f t="shared" si="182"/>
        <v>0</v>
      </c>
      <c r="N238" s="73">
        <f t="shared" si="182"/>
        <v>0.293193717277487</v>
      </c>
      <c r="O238" s="73">
        <f t="shared" ref="O238:Y238" si="183">O236/J236-1</f>
        <v>0.2009803921568627</v>
      </c>
      <c r="P238" s="73">
        <f t="shared" si="183"/>
        <v>0.3727272727272728</v>
      </c>
      <c r="Q238" s="24">
        <f t="shared" si="183"/>
        <v>0.20984759671746778</v>
      </c>
      <c r="R238" s="73">
        <f t="shared" si="183"/>
        <v>0.34033613445378141</v>
      </c>
      <c r="S238" s="73">
        <f t="shared" si="183"/>
        <v>0.29149797570850211</v>
      </c>
      <c r="T238" s="73">
        <f t="shared" si="183"/>
        <v>9.3877551020408179E-2</v>
      </c>
      <c r="U238" s="73">
        <f t="shared" si="183"/>
        <v>-0.14238410596026485</v>
      </c>
      <c r="V238" s="24">
        <f t="shared" si="183"/>
        <v>0.12887596899224807</v>
      </c>
      <c r="W238" s="73">
        <f t="shared" si="183"/>
        <v>-0.15673981191222575</v>
      </c>
      <c r="X238" s="73">
        <f t="shared" si="183"/>
        <v>-0.25391849529780564</v>
      </c>
      <c r="Y238" s="73">
        <f t="shared" si="183"/>
        <v>-7.089552238805974E-2</v>
      </c>
      <c r="Z238" s="73">
        <f t="shared" ref="Z238:AE238" si="184">Z236/U236-1</f>
        <v>-0.22007722007722008</v>
      </c>
      <c r="AA238" s="24">
        <f t="shared" si="184"/>
        <v>-0.17768240343347641</v>
      </c>
      <c r="AB238" s="73">
        <f t="shared" si="184"/>
        <v>-0.3197026022304833</v>
      </c>
      <c r="AC238" s="73">
        <f t="shared" si="184"/>
        <v>-0.21848739495798319</v>
      </c>
      <c r="AD238" s="73">
        <f t="shared" si="184"/>
        <v>-0.20481927710843373</v>
      </c>
      <c r="AE238" s="73">
        <f t="shared" si="184"/>
        <v>9.9009900990099098E-2</v>
      </c>
      <c r="AF238" s="24">
        <v>-0.17640918580375786</v>
      </c>
      <c r="AG238" s="73">
        <v>0.14754098360655732</v>
      </c>
      <c r="AH238" s="73">
        <v>0.11290322580645151</v>
      </c>
      <c r="AI238" s="73">
        <v>6.0606060606060552E-2</v>
      </c>
      <c r="AJ238" s="73">
        <v>-0.1216216216216216</v>
      </c>
      <c r="AK238" s="24">
        <v>4.1825095057034245E-2</v>
      </c>
      <c r="AL238" s="73">
        <v>0.10000000000000009</v>
      </c>
      <c r="AM238" s="73">
        <v>-7.7294685990338174E-2</v>
      </c>
      <c r="AN238" s="73">
        <v>9.5238095238095344E-2</v>
      </c>
      <c r="AO238" s="73">
        <v>1.025641025641022E-2</v>
      </c>
      <c r="AP238" s="24">
        <v>3.2846715328467058E-2</v>
      </c>
      <c r="AQ238" s="73">
        <v>-0.1558441558441559</v>
      </c>
      <c r="AR238" s="73">
        <v>0.18848167539267013</v>
      </c>
      <c r="AS238" s="73">
        <v>-9.9999999999999978E-2</v>
      </c>
      <c r="AT238" s="73">
        <v>4.0609137055837463E-2</v>
      </c>
      <c r="AU238" s="24">
        <v>-1.7667844522968212E-2</v>
      </c>
      <c r="AV238" s="73">
        <v>7.6923076923076872E-2</v>
      </c>
      <c r="AW238" s="73">
        <v>-3.524229074889873E-2</v>
      </c>
      <c r="AX238" s="73">
        <v>-0.17874396135265702</v>
      </c>
      <c r="AY238" s="73">
        <v>0.10243902439024399</v>
      </c>
      <c r="AZ238" s="24">
        <v>-1.0791366906474864E-2</v>
      </c>
      <c r="BA238" s="73">
        <v>-2.3809523809523836E-2</v>
      </c>
      <c r="BB238" s="73">
        <v>0.42922374429223753</v>
      </c>
      <c r="BC238" s="73">
        <v>0.37058823529411766</v>
      </c>
      <c r="BD238" s="73">
        <v>-4.4247787610619538E-3</v>
      </c>
      <c r="BE238" s="24">
        <v>0.1830303030303031</v>
      </c>
    </row>
    <row r="239" spans="1:57" ht="14.4" customHeight="1">
      <c r="A239" s="69" t="s">
        <v>246</v>
      </c>
      <c r="B239" s="65">
        <v>169</v>
      </c>
      <c r="C239" s="70">
        <f>C236-C240</f>
        <v>60</v>
      </c>
      <c r="D239" s="70">
        <f>D236-D240</f>
        <v>25</v>
      </c>
      <c r="E239" s="70">
        <v>12</v>
      </c>
      <c r="F239" s="70">
        <f>G239-C239-D239-E239</f>
        <v>47</v>
      </c>
      <c r="G239" s="65">
        <v>144</v>
      </c>
      <c r="H239" s="70">
        <v>49</v>
      </c>
      <c r="I239" s="70">
        <v>9</v>
      </c>
      <c r="J239" s="70">
        <v>19</v>
      </c>
      <c r="K239" s="70">
        <f>L239-H239-I239-J239</f>
        <v>9</v>
      </c>
      <c r="L239" s="65">
        <v>86</v>
      </c>
      <c r="M239" s="70">
        <v>15</v>
      </c>
      <c r="N239" s="70">
        <v>26</v>
      </c>
      <c r="O239" s="70">
        <v>48</v>
      </c>
      <c r="P239" s="70">
        <f>Q239-M239-N239-O239</f>
        <v>43</v>
      </c>
      <c r="Q239" s="65">
        <v>132</v>
      </c>
      <c r="R239" s="70">
        <v>72</v>
      </c>
      <c r="S239" s="70">
        <v>48</v>
      </c>
      <c r="T239" s="70">
        <v>68</v>
      </c>
      <c r="U239" s="70">
        <f>V239-R239-S239-T239</f>
        <v>40</v>
      </c>
      <c r="V239" s="65">
        <v>228</v>
      </c>
      <c r="W239" s="70">
        <v>46</v>
      </c>
      <c r="X239" s="70">
        <v>22</v>
      </c>
      <c r="Y239" s="70">
        <v>96</v>
      </c>
      <c r="Z239" s="70">
        <f>AA239-W239-X239-Y239</f>
        <v>136</v>
      </c>
      <c r="AA239" s="65">
        <v>300</v>
      </c>
      <c r="AB239" s="70">
        <v>42</v>
      </c>
      <c r="AC239" s="70">
        <v>124</v>
      </c>
      <c r="AD239" s="70">
        <v>48</v>
      </c>
      <c r="AE239" s="70">
        <f>AF239-AB239-AC239-AD239</f>
        <v>90</v>
      </c>
      <c r="AF239" s="65">
        <v>304</v>
      </c>
      <c r="AG239" s="70">
        <v>28</v>
      </c>
      <c r="AH239" s="70">
        <v>42</v>
      </c>
      <c r="AI239" s="70">
        <v>69</v>
      </c>
      <c r="AJ239" s="70">
        <v>82</v>
      </c>
      <c r="AK239" s="65">
        <v>221</v>
      </c>
      <c r="AL239" s="70">
        <v>12</v>
      </c>
      <c r="AM239" s="70">
        <v>80</v>
      </c>
      <c r="AN239" s="70">
        <v>21</v>
      </c>
      <c r="AO239" s="70">
        <v>33</v>
      </c>
      <c r="AP239" s="65">
        <v>146</v>
      </c>
      <c r="AQ239" s="70">
        <v>41</v>
      </c>
      <c r="AR239" s="70">
        <v>54</v>
      </c>
      <c r="AS239" s="70">
        <v>22</v>
      </c>
      <c r="AT239" s="70">
        <v>15</v>
      </c>
      <c r="AU239" s="65">
        <v>132</v>
      </c>
      <c r="AV239" s="70">
        <v>10</v>
      </c>
      <c r="AW239" s="70">
        <v>16</v>
      </c>
      <c r="AX239" s="70">
        <v>46</v>
      </c>
      <c r="AY239" s="70">
        <v>22</v>
      </c>
      <c r="AZ239" s="65">
        <v>94</v>
      </c>
      <c r="BA239" s="70">
        <v>7</v>
      </c>
      <c r="BB239" s="186">
        <v>-58</v>
      </c>
      <c r="BC239" s="70">
        <v>8</v>
      </c>
      <c r="BD239" s="70">
        <v>270</v>
      </c>
      <c r="BE239" s="65">
        <v>227</v>
      </c>
    </row>
    <row r="240" spans="1:57" ht="13.2" customHeight="1">
      <c r="A240" s="69" t="s">
        <v>209</v>
      </c>
      <c r="B240" s="65">
        <f>B236-169</f>
        <v>336</v>
      </c>
      <c r="C240" s="70">
        <v>98</v>
      </c>
      <c r="D240" s="70">
        <v>107</v>
      </c>
      <c r="E240" s="70">
        <f>E236-12</f>
        <v>144</v>
      </c>
      <c r="F240" s="70">
        <f>G240-E240-D240-C240</f>
        <v>123</v>
      </c>
      <c r="G240" s="65">
        <f>G236-144</f>
        <v>472</v>
      </c>
      <c r="H240" s="70">
        <f>H236-49</f>
        <v>189</v>
      </c>
      <c r="I240" s="70">
        <f>I236-9</f>
        <v>182</v>
      </c>
      <c r="J240" s="70">
        <f>J236-19</f>
        <v>185</v>
      </c>
      <c r="K240" s="70">
        <f>L240-J240-I240-H240</f>
        <v>211</v>
      </c>
      <c r="L240" s="65">
        <f>L236-86</f>
        <v>767</v>
      </c>
      <c r="M240" s="70">
        <f>M236-15</f>
        <v>223</v>
      </c>
      <c r="N240" s="70">
        <f>N236-26</f>
        <v>221</v>
      </c>
      <c r="O240" s="70">
        <f>O236-48</f>
        <v>197</v>
      </c>
      <c r="P240" s="70">
        <f>Q240-O240-N240-M240</f>
        <v>259</v>
      </c>
      <c r="Q240" s="65">
        <f>Q236-132</f>
        <v>900</v>
      </c>
      <c r="R240" s="70">
        <f>R236-72</f>
        <v>247</v>
      </c>
      <c r="S240" s="70">
        <f>S236-48</f>
        <v>271</v>
      </c>
      <c r="T240" s="70">
        <f>T236-68</f>
        <v>200</v>
      </c>
      <c r="U240" s="70">
        <f>V240-T240-S240-R240</f>
        <v>219</v>
      </c>
      <c r="V240" s="65">
        <f>V236-228</f>
        <v>937</v>
      </c>
      <c r="W240" s="70">
        <f>W236-46</f>
        <v>223</v>
      </c>
      <c r="X240" s="70">
        <f>X236-22</f>
        <v>216</v>
      </c>
      <c r="Y240" s="70">
        <f>Y236-96</f>
        <v>153</v>
      </c>
      <c r="Z240" s="70">
        <f>AA240-Y240-X240-W240</f>
        <v>66</v>
      </c>
      <c r="AA240" s="65">
        <f>AA236-300</f>
        <v>658</v>
      </c>
      <c r="AB240" s="70">
        <f>AB236-42</f>
        <v>141</v>
      </c>
      <c r="AC240" s="70">
        <f>AC236-124</f>
        <v>62</v>
      </c>
      <c r="AD240" s="70">
        <f>AD236-48</f>
        <v>150</v>
      </c>
      <c r="AE240" s="70">
        <f>AF240-AD240-AC240-AB240</f>
        <v>132</v>
      </c>
      <c r="AF240" s="65">
        <v>485</v>
      </c>
      <c r="AG240" s="70">
        <v>182</v>
      </c>
      <c r="AH240" s="70">
        <v>165</v>
      </c>
      <c r="AI240" s="70">
        <v>141</v>
      </c>
      <c r="AJ240" s="70">
        <v>113</v>
      </c>
      <c r="AK240" s="65">
        <v>601</v>
      </c>
      <c r="AL240" s="70">
        <v>219</v>
      </c>
      <c r="AM240" s="70">
        <v>111</v>
      </c>
      <c r="AN240" s="70">
        <v>209</v>
      </c>
      <c r="AO240" s="70">
        <v>164</v>
      </c>
      <c r="AP240" s="65">
        <v>703</v>
      </c>
      <c r="AQ240" s="70">
        <v>154</v>
      </c>
      <c r="AR240" s="70">
        <v>173</v>
      </c>
      <c r="AS240" s="70">
        <v>185</v>
      </c>
      <c r="AT240" s="70">
        <v>190</v>
      </c>
      <c r="AU240" s="65">
        <v>702</v>
      </c>
      <c r="AV240" s="70">
        <v>200</v>
      </c>
      <c r="AW240" s="70">
        <v>203</v>
      </c>
      <c r="AX240" s="70">
        <v>124</v>
      </c>
      <c r="AY240" s="70">
        <v>204</v>
      </c>
      <c r="AZ240" s="65">
        <v>731</v>
      </c>
      <c r="BA240" s="70">
        <v>198</v>
      </c>
      <c r="BB240" s="70">
        <v>371</v>
      </c>
      <c r="BC240" s="70">
        <v>225</v>
      </c>
      <c r="BD240" s="186">
        <v>-45</v>
      </c>
      <c r="BE240" s="65">
        <v>749</v>
      </c>
    </row>
    <row r="241" spans="1:57">
      <c r="A241" s="71" t="s">
        <v>7</v>
      </c>
      <c r="B241" s="24"/>
      <c r="C241" s="72"/>
      <c r="D241" s="72">
        <f>D240/C240-1</f>
        <v>9.1836734693877542E-2</v>
      </c>
      <c r="E241" s="72">
        <f>E240/D240-1</f>
        <v>0.34579439252336441</v>
      </c>
      <c r="F241" s="72">
        <f>F240/E240-1</f>
        <v>-0.14583333333333337</v>
      </c>
      <c r="G241" s="24"/>
      <c r="H241" s="72">
        <f>H240/F240-1</f>
        <v>0.53658536585365857</v>
      </c>
      <c r="I241" s="72">
        <f>I240/H240-1</f>
        <v>-3.703703703703709E-2</v>
      </c>
      <c r="J241" s="72">
        <f>J240/I240-1</f>
        <v>1.6483516483516425E-2</v>
      </c>
      <c r="K241" s="72">
        <f>K240/J240-1</f>
        <v>0.14054054054054044</v>
      </c>
      <c r="L241" s="24"/>
      <c r="M241" s="72">
        <f>M240/K240-1</f>
        <v>5.6872037914691864E-2</v>
      </c>
      <c r="N241" s="72">
        <f>N240/M240-1</f>
        <v>-8.9686098654708779E-3</v>
      </c>
      <c r="O241" s="72">
        <f>O240/N240-1</f>
        <v>-0.10859728506787325</v>
      </c>
      <c r="P241" s="72">
        <f>P240/O240-1</f>
        <v>0.31472081218274117</v>
      </c>
      <c r="Q241" s="24"/>
      <c r="R241" s="72">
        <f>R240/P240-1</f>
        <v>-4.633204633204635E-2</v>
      </c>
      <c r="S241" s="72">
        <f>S240/R240-1</f>
        <v>9.7165991902834037E-2</v>
      </c>
      <c r="T241" s="72">
        <f>T240/S240-1</f>
        <v>-0.26199261992619927</v>
      </c>
      <c r="U241" s="72">
        <f>U240/T240-1</f>
        <v>9.4999999999999973E-2</v>
      </c>
      <c r="V241" s="24"/>
      <c r="W241" s="72">
        <f>W240/U240-1</f>
        <v>1.8264840182648401E-2</v>
      </c>
      <c r="X241" s="72">
        <f>X240/W240-1</f>
        <v>-3.1390134529147962E-2</v>
      </c>
      <c r="Y241" s="72">
        <f>Y240/X240-1</f>
        <v>-0.29166666666666663</v>
      </c>
      <c r="Z241" s="72">
        <f>Z240/Y240-1</f>
        <v>-0.56862745098039214</v>
      </c>
      <c r="AA241" s="24"/>
      <c r="AB241" s="72">
        <f>AB240/Z240-1</f>
        <v>1.1363636363636362</v>
      </c>
      <c r="AC241" s="72">
        <f>AC240/AB240-1</f>
        <v>-0.56028368794326244</v>
      </c>
      <c r="AD241" s="72">
        <f>AD240/AC240-1</f>
        <v>1.4193548387096775</v>
      </c>
      <c r="AE241" s="72">
        <f>AE240/AD240-1</f>
        <v>-0.12</v>
      </c>
      <c r="AF241" s="24"/>
      <c r="AG241" s="72">
        <v>0.3787878787878789</v>
      </c>
      <c r="AH241" s="72">
        <v>-9.3406593406593408E-2</v>
      </c>
      <c r="AI241" s="72">
        <v>-0.1454545454545455</v>
      </c>
      <c r="AJ241" s="72">
        <v>-0.1985815602836879</v>
      </c>
      <c r="AK241" s="24"/>
      <c r="AL241" s="72">
        <v>0.93805309734513265</v>
      </c>
      <c r="AM241" s="72">
        <v>-0.49315068493150682</v>
      </c>
      <c r="AN241" s="72">
        <v>0.88288288288288297</v>
      </c>
      <c r="AO241" s="72">
        <v>-0.21531100478468901</v>
      </c>
      <c r="AP241" s="24"/>
      <c r="AQ241" s="72">
        <v>-6.0975609756097615E-2</v>
      </c>
      <c r="AR241" s="72">
        <v>0.12337662337662336</v>
      </c>
      <c r="AS241" s="72">
        <v>6.9364161849710948E-2</v>
      </c>
      <c r="AT241" s="72">
        <v>2.7027027027026973E-2</v>
      </c>
      <c r="AU241" s="24"/>
      <c r="AV241" s="72">
        <v>5.2631578947368363E-2</v>
      </c>
      <c r="AW241" s="72">
        <v>1.4999999999999902E-2</v>
      </c>
      <c r="AX241" s="72">
        <v>-0.38916256157635465</v>
      </c>
      <c r="AY241" s="72">
        <v>0.64516129032258074</v>
      </c>
      <c r="AZ241" s="24"/>
      <c r="BA241" s="72">
        <v>-2.9411764705882359E-2</v>
      </c>
      <c r="BB241" s="72">
        <v>0.8737373737373737</v>
      </c>
      <c r="BC241" s="72">
        <v>-0.39353099730458219</v>
      </c>
      <c r="BD241" s="85" t="s">
        <v>43</v>
      </c>
      <c r="BE241" s="24"/>
    </row>
    <row r="242" spans="1:57" ht="11.1" customHeight="1">
      <c r="A242" s="71" t="s">
        <v>8</v>
      </c>
      <c r="B242" s="24"/>
      <c r="C242" s="73"/>
      <c r="D242" s="73"/>
      <c r="E242" s="73"/>
      <c r="F242" s="73"/>
      <c r="G242" s="24">
        <f t="shared" ref="G242:N242" si="185">G240/B240-1</f>
        <v>0.40476190476190466</v>
      </c>
      <c r="H242" s="73">
        <f t="shared" si="185"/>
        <v>0.9285714285714286</v>
      </c>
      <c r="I242" s="73">
        <f t="shared" si="185"/>
        <v>0.7009345794392523</v>
      </c>
      <c r="J242" s="73">
        <f t="shared" si="185"/>
        <v>0.28472222222222232</v>
      </c>
      <c r="K242" s="73">
        <f t="shared" si="185"/>
        <v>0.71544715447154461</v>
      </c>
      <c r="L242" s="24">
        <f t="shared" si="185"/>
        <v>0.625</v>
      </c>
      <c r="M242" s="73">
        <f t="shared" si="185"/>
        <v>0.17989417989418</v>
      </c>
      <c r="N242" s="73">
        <f t="shared" si="185"/>
        <v>0.21428571428571419</v>
      </c>
      <c r="O242" s="73">
        <f t="shared" ref="O242:Y242" si="186">O240/J240-1</f>
        <v>6.4864864864864868E-2</v>
      </c>
      <c r="P242" s="73">
        <f t="shared" si="186"/>
        <v>0.22748815165876768</v>
      </c>
      <c r="Q242" s="24">
        <f t="shared" si="186"/>
        <v>0.17340286831812257</v>
      </c>
      <c r="R242" s="73">
        <f t="shared" si="186"/>
        <v>0.10762331838565031</v>
      </c>
      <c r="S242" s="73">
        <f t="shared" si="186"/>
        <v>0.2262443438914028</v>
      </c>
      <c r="T242" s="73">
        <f t="shared" si="186"/>
        <v>1.5228426395939021E-2</v>
      </c>
      <c r="U242" s="73">
        <f t="shared" si="186"/>
        <v>-0.15444015444015446</v>
      </c>
      <c r="V242" s="24">
        <f t="shared" si="186"/>
        <v>4.1111111111111098E-2</v>
      </c>
      <c r="W242" s="73">
        <f t="shared" si="186"/>
        <v>-9.7165991902834037E-2</v>
      </c>
      <c r="X242" s="73">
        <f t="shared" si="186"/>
        <v>-0.20295202952029523</v>
      </c>
      <c r="Y242" s="73">
        <f t="shared" si="186"/>
        <v>-0.23499999999999999</v>
      </c>
      <c r="Z242" s="73">
        <f t="shared" ref="Z242:AE242" si="187">Z240/U240-1</f>
        <v>-0.69863013698630139</v>
      </c>
      <c r="AA242" s="24">
        <f t="shared" si="187"/>
        <v>-0.29775880469583782</v>
      </c>
      <c r="AB242" s="73">
        <f t="shared" si="187"/>
        <v>-0.36771300448430488</v>
      </c>
      <c r="AC242" s="73">
        <f t="shared" si="187"/>
        <v>-0.71296296296296302</v>
      </c>
      <c r="AD242" s="73">
        <f t="shared" si="187"/>
        <v>-1.9607843137254943E-2</v>
      </c>
      <c r="AE242" s="73">
        <f t="shared" si="187"/>
        <v>1</v>
      </c>
      <c r="AF242" s="24">
        <v>-0.26291793313069911</v>
      </c>
      <c r="AG242" s="73">
        <v>0.29078014184397172</v>
      </c>
      <c r="AH242" s="73">
        <v>1.661290322580645</v>
      </c>
      <c r="AI242" s="73">
        <v>-6.0000000000000053E-2</v>
      </c>
      <c r="AJ242" s="73">
        <v>-0.14393939393939392</v>
      </c>
      <c r="AK242" s="24">
        <v>0.2391752577319588</v>
      </c>
      <c r="AL242" s="73">
        <v>0.20329670329670324</v>
      </c>
      <c r="AM242" s="73">
        <v>-0.32727272727272727</v>
      </c>
      <c r="AN242" s="73">
        <v>0.48226950354609932</v>
      </c>
      <c r="AO242" s="73">
        <v>0.45132743362831862</v>
      </c>
      <c r="AP242" s="24">
        <v>0.16971713810316147</v>
      </c>
      <c r="AQ242" s="73">
        <v>-0.29680365296803657</v>
      </c>
      <c r="AR242" s="73">
        <v>0.55855855855855863</v>
      </c>
      <c r="AS242" s="73">
        <v>-0.11483253588516751</v>
      </c>
      <c r="AT242" s="73">
        <v>0.15853658536585358</v>
      </c>
      <c r="AU242" s="24">
        <v>-1.4224751066855834E-3</v>
      </c>
      <c r="AV242" s="73">
        <v>0.29870129870129869</v>
      </c>
      <c r="AW242" s="73">
        <v>0.17341040462427748</v>
      </c>
      <c r="AX242" s="73">
        <v>-0.32972972972972969</v>
      </c>
      <c r="AY242" s="73">
        <v>7.3684210526315796E-2</v>
      </c>
      <c r="AZ242" s="24">
        <v>4.1310541310541238E-2</v>
      </c>
      <c r="BA242" s="73">
        <v>-1.0000000000000009E-2</v>
      </c>
      <c r="BB242" s="73">
        <v>0.82758620689655182</v>
      </c>
      <c r="BC242" s="73">
        <v>0.81451612903225801</v>
      </c>
      <c r="BD242" s="85" t="s">
        <v>43</v>
      </c>
      <c r="BE242" s="24">
        <v>2.4623803009576006E-2</v>
      </c>
    </row>
    <row r="243" spans="1:57" ht="11.1" customHeight="1">
      <c r="A243" s="69" t="s">
        <v>261</v>
      </c>
      <c r="B243" s="24"/>
      <c r="C243" s="73"/>
      <c r="D243" s="73"/>
      <c r="E243" s="73"/>
      <c r="F243" s="73"/>
      <c r="G243" s="24"/>
      <c r="H243" s="73"/>
      <c r="I243" s="73"/>
      <c r="J243" s="73"/>
      <c r="K243" s="73"/>
      <c r="L243" s="24"/>
      <c r="M243" s="73"/>
      <c r="N243" s="73"/>
      <c r="O243" s="73"/>
      <c r="P243" s="73"/>
      <c r="Q243" s="24"/>
      <c r="R243" s="73"/>
      <c r="S243" s="73"/>
      <c r="T243" s="73"/>
      <c r="U243" s="73"/>
      <c r="V243" s="24"/>
      <c r="W243" s="73"/>
      <c r="X243" s="73"/>
      <c r="Y243" s="73"/>
      <c r="Z243" s="73"/>
      <c r="AA243" s="24"/>
      <c r="AB243" s="73"/>
      <c r="AC243" s="73"/>
      <c r="AD243" s="73"/>
      <c r="AE243" s="73"/>
      <c r="AF243" s="24"/>
      <c r="AG243" s="73"/>
      <c r="AH243" s="73"/>
      <c r="AI243" s="73"/>
      <c r="AJ243" s="73"/>
      <c r="AK243" s="24"/>
      <c r="AL243" s="73"/>
      <c r="AM243" s="73"/>
      <c r="AN243" s="73"/>
      <c r="AO243" s="73"/>
      <c r="AP243" s="24"/>
      <c r="AQ243" s="73"/>
      <c r="AR243" s="73"/>
      <c r="AS243" s="73"/>
      <c r="AT243" s="73"/>
      <c r="AU243" s="24"/>
      <c r="AV243" s="73"/>
      <c r="AW243" s="73"/>
      <c r="AX243" s="73"/>
      <c r="AY243" s="73"/>
      <c r="AZ243" s="24"/>
      <c r="BA243" s="70">
        <v>33</v>
      </c>
      <c r="BB243" s="70">
        <v>29</v>
      </c>
      <c r="BC243" s="70">
        <v>28</v>
      </c>
      <c r="BD243" s="70">
        <v>9</v>
      </c>
      <c r="BE243" s="65">
        <v>99</v>
      </c>
    </row>
    <row r="244" spans="1:57" ht="2.25" customHeight="1">
      <c r="A244" s="71"/>
      <c r="B244" s="24"/>
      <c r="C244" s="73"/>
      <c r="D244" s="73"/>
      <c r="E244" s="73"/>
      <c r="F244" s="73"/>
      <c r="G244" s="24"/>
      <c r="H244" s="73"/>
      <c r="I244" s="73"/>
      <c r="J244" s="73"/>
      <c r="K244" s="73"/>
      <c r="L244" s="24"/>
      <c r="M244" s="73"/>
      <c r="N244" s="73"/>
      <c r="O244" s="73"/>
      <c r="P244" s="73"/>
      <c r="Q244" s="24"/>
      <c r="R244" s="73"/>
      <c r="S244" s="73"/>
      <c r="T244" s="73"/>
      <c r="U244" s="73"/>
      <c r="V244" s="24"/>
      <c r="W244" s="73"/>
      <c r="X244" s="73"/>
      <c r="Y244" s="73"/>
      <c r="Z244" s="73"/>
      <c r="AA244" s="24"/>
      <c r="AB244" s="73"/>
      <c r="AC244" s="73"/>
      <c r="AD244" s="73"/>
      <c r="AE244" s="73"/>
      <c r="AF244" s="24"/>
      <c r="AG244" s="73"/>
      <c r="AH244" s="73"/>
      <c r="AI244" s="73"/>
      <c r="AJ244" s="73"/>
      <c r="AK244" s="24"/>
      <c r="AL244" s="73"/>
      <c r="AM244" s="73"/>
      <c r="AN244" s="73"/>
      <c r="AO244" s="73"/>
      <c r="AP244" s="24"/>
      <c r="AQ244" s="73"/>
      <c r="AR244" s="73"/>
      <c r="AS244" s="73"/>
      <c r="AT244" s="73"/>
      <c r="AU244" s="24"/>
      <c r="AV244" s="73"/>
      <c r="AW244" s="73"/>
      <c r="AX244" s="73"/>
      <c r="AY244" s="73"/>
      <c r="AZ244" s="24"/>
      <c r="BA244" s="73"/>
      <c r="BB244" s="73"/>
      <c r="BC244" s="73"/>
      <c r="BD244" s="73"/>
      <c r="BE244" s="24"/>
    </row>
    <row r="245" spans="1:57" ht="11.7" customHeight="1">
      <c r="A245" s="69" t="s">
        <v>13</v>
      </c>
      <c r="B245" s="65">
        <f>B230-B240</f>
        <v>1043</v>
      </c>
      <c r="C245" s="80" t="s">
        <v>52</v>
      </c>
      <c r="D245" s="80" t="s">
        <v>52</v>
      </c>
      <c r="E245" s="80" t="s">
        <v>52</v>
      </c>
      <c r="F245" s="80" t="s">
        <v>52</v>
      </c>
      <c r="G245" s="65">
        <f>G230-G240</f>
        <v>1219</v>
      </c>
      <c r="H245" s="70">
        <f>H230-H240</f>
        <v>446</v>
      </c>
      <c r="I245" s="70">
        <f>I230-I240</f>
        <v>226</v>
      </c>
      <c r="J245" s="70">
        <f>J230-J240</f>
        <v>341</v>
      </c>
      <c r="K245" s="70">
        <f>L245-J245-I245-H245</f>
        <v>440</v>
      </c>
      <c r="L245" s="65">
        <f>L230-L240</f>
        <v>1453</v>
      </c>
      <c r="M245" s="70">
        <f>M230-M240</f>
        <v>170</v>
      </c>
      <c r="N245" s="70">
        <f>N230-N240</f>
        <v>302</v>
      </c>
      <c r="O245" s="70">
        <f>O230-O240</f>
        <v>487</v>
      </c>
      <c r="P245" s="70">
        <f>Q245-O245-N245-M245</f>
        <v>281</v>
      </c>
      <c r="Q245" s="65">
        <f>Q230-Q240</f>
        <v>1240</v>
      </c>
      <c r="R245" s="70">
        <f>R230-R240+115</f>
        <v>287</v>
      </c>
      <c r="S245" s="70">
        <f>S230-S240</f>
        <v>225</v>
      </c>
      <c r="T245" s="70">
        <f>T230-T240</f>
        <v>441</v>
      </c>
      <c r="U245" s="70">
        <f>V245-T245-S245-R245</f>
        <v>215.93499999999995</v>
      </c>
      <c r="V245" s="65">
        <f>V230-V240</f>
        <v>1168.9349999999999</v>
      </c>
      <c r="W245" s="70">
        <f>W230-W240</f>
        <v>428</v>
      </c>
      <c r="X245" s="70">
        <f>X230-X240</f>
        <v>160</v>
      </c>
      <c r="Y245" s="70">
        <f>Y230-Y240</f>
        <v>317</v>
      </c>
      <c r="Z245" s="70">
        <f>AA245-Y245-X245-W245</f>
        <v>446</v>
      </c>
      <c r="AA245" s="65">
        <f>AA230-AA240</f>
        <v>1351</v>
      </c>
      <c r="AB245" s="70">
        <f>AB230-AB240</f>
        <v>420</v>
      </c>
      <c r="AC245" s="70">
        <f>AC230-AC240</f>
        <v>494</v>
      </c>
      <c r="AD245" s="70">
        <f>AD230-AD240</f>
        <v>481</v>
      </c>
      <c r="AE245" s="70">
        <f>AF245-AD245-AC245-AB245</f>
        <v>394</v>
      </c>
      <c r="AF245" s="65">
        <v>1789</v>
      </c>
      <c r="AG245" s="70">
        <v>434</v>
      </c>
      <c r="AH245" s="70">
        <v>380</v>
      </c>
      <c r="AI245" s="70">
        <v>458</v>
      </c>
      <c r="AJ245" s="70">
        <v>386</v>
      </c>
      <c r="AK245" s="65">
        <v>1658</v>
      </c>
      <c r="AL245" s="70">
        <v>329</v>
      </c>
      <c r="AM245" s="70">
        <v>345</v>
      </c>
      <c r="AN245" s="70">
        <v>477</v>
      </c>
      <c r="AO245" s="70">
        <v>504</v>
      </c>
      <c r="AP245" s="65">
        <v>1655</v>
      </c>
      <c r="AQ245" s="70">
        <v>385</v>
      </c>
      <c r="AR245" s="70">
        <v>344</v>
      </c>
      <c r="AS245" s="70">
        <v>341</v>
      </c>
      <c r="AT245" s="70">
        <v>292</v>
      </c>
      <c r="AU245" s="65">
        <v>1362</v>
      </c>
      <c r="AV245" s="70">
        <v>400</v>
      </c>
      <c r="AW245" s="70">
        <v>262</v>
      </c>
      <c r="AX245" s="70">
        <v>449</v>
      </c>
      <c r="AY245" s="70">
        <v>383</v>
      </c>
      <c r="AZ245" s="65">
        <v>1494</v>
      </c>
      <c r="BA245" s="70">
        <v>285</v>
      </c>
      <c r="BB245" s="70">
        <v>107</v>
      </c>
      <c r="BC245" s="70">
        <v>330</v>
      </c>
      <c r="BD245" s="70">
        <v>636</v>
      </c>
      <c r="BE245" s="65">
        <v>1358</v>
      </c>
    </row>
    <row r="246" spans="1:57" ht="10.199999999999999" customHeight="1">
      <c r="A246" s="71" t="s">
        <v>7</v>
      </c>
      <c r="B246" s="24"/>
      <c r="C246" s="72"/>
      <c r="D246" s="72"/>
      <c r="E246" s="72"/>
      <c r="F246" s="72"/>
      <c r="G246" s="24"/>
      <c r="H246" s="72"/>
      <c r="I246" s="72">
        <f>I245/H245-1</f>
        <v>-0.49327354260089684</v>
      </c>
      <c r="J246" s="72">
        <f>J245/I245-1</f>
        <v>0.50884955752212391</v>
      </c>
      <c r="K246" s="72">
        <f>K245/J245-1</f>
        <v>0.29032258064516125</v>
      </c>
      <c r="L246" s="24"/>
      <c r="M246" s="72">
        <f>M245/K245-1</f>
        <v>-0.61363636363636365</v>
      </c>
      <c r="N246" s="72">
        <f>N245/M245-1</f>
        <v>0.77647058823529402</v>
      </c>
      <c r="O246" s="72">
        <f>O245/N245-1</f>
        <v>0.61258278145695355</v>
      </c>
      <c r="P246" s="72">
        <f>P245/O245-1</f>
        <v>-0.4229979466119097</v>
      </c>
      <c r="Q246" s="24"/>
      <c r="R246" s="72">
        <f>R245/P245-1</f>
        <v>2.1352313167259718E-2</v>
      </c>
      <c r="S246" s="72">
        <f>S245/R245-1</f>
        <v>-0.21602787456445993</v>
      </c>
      <c r="T246" s="72">
        <f>T245/S245-1</f>
        <v>0.96</v>
      </c>
      <c r="U246" s="72">
        <f>U245/T245-1</f>
        <v>-0.5103514739229027</v>
      </c>
      <c r="V246" s="24"/>
      <c r="W246" s="72">
        <f>W245/U245-1</f>
        <v>0.98207794012087013</v>
      </c>
      <c r="X246" s="72">
        <f>X245/W245-1</f>
        <v>-0.62616822429906538</v>
      </c>
      <c r="Y246" s="72">
        <f>Y245/X245-1</f>
        <v>0.98124999999999996</v>
      </c>
      <c r="Z246" s="72">
        <f>Z245/Y245-1</f>
        <v>0.40694006309148256</v>
      </c>
      <c r="AA246" s="24"/>
      <c r="AB246" s="72">
        <f>AB245/Z245-1</f>
        <v>-5.8295964125560484E-2</v>
      </c>
      <c r="AC246" s="72">
        <f>AC245/AB245-1</f>
        <v>0.17619047619047623</v>
      </c>
      <c r="AD246" s="72">
        <f>AD245/AC245-1</f>
        <v>-2.6315789473684181E-2</v>
      </c>
      <c r="AE246" s="72">
        <f>AE245/AD245-1</f>
        <v>-0.18087318087318083</v>
      </c>
      <c r="AF246" s="24"/>
      <c r="AG246" s="72">
        <v>0.10152284263959399</v>
      </c>
      <c r="AH246" s="72">
        <v>-0.12442396313364057</v>
      </c>
      <c r="AI246" s="72">
        <v>0.20526315789473681</v>
      </c>
      <c r="AJ246" s="72">
        <v>-0.15720524017467252</v>
      </c>
      <c r="AK246" s="24"/>
      <c r="AL246" s="72">
        <v>-0.14766839378238339</v>
      </c>
      <c r="AM246" s="72">
        <v>4.8632218844984809E-2</v>
      </c>
      <c r="AN246" s="72">
        <v>0.38260869565217392</v>
      </c>
      <c r="AO246" s="72">
        <v>5.6603773584905648E-2</v>
      </c>
      <c r="AP246" s="24"/>
      <c r="AQ246" s="72">
        <v>-0.23611111111111116</v>
      </c>
      <c r="AR246" s="72">
        <v>-0.10649350649350653</v>
      </c>
      <c r="AS246" s="72">
        <v>-8.720930232558155E-3</v>
      </c>
      <c r="AT246" s="72">
        <v>-0.14369501466275658</v>
      </c>
      <c r="AU246" s="24"/>
      <c r="AV246" s="72">
        <v>0.36986301369863006</v>
      </c>
      <c r="AW246" s="72">
        <v>-0.34499999999999997</v>
      </c>
      <c r="AX246" s="72">
        <v>0.71374045801526709</v>
      </c>
      <c r="AY246" s="72">
        <v>-0.14699331848552344</v>
      </c>
      <c r="AZ246" s="24"/>
      <c r="BA246" s="72">
        <v>-0.25587467362924277</v>
      </c>
      <c r="BB246" s="72">
        <v>-0.62456140350877187</v>
      </c>
      <c r="BC246" s="72">
        <v>2.0841121495327104</v>
      </c>
      <c r="BD246" s="72">
        <v>0.92727272727272725</v>
      </c>
      <c r="BE246" s="24"/>
    </row>
    <row r="247" spans="1:57" ht="9" customHeight="1">
      <c r="A247" s="71" t="s">
        <v>8</v>
      </c>
      <c r="B247" s="24"/>
      <c r="C247" s="73"/>
      <c r="D247" s="73"/>
      <c r="E247" s="73"/>
      <c r="F247" s="73"/>
      <c r="G247" s="24">
        <f>G245/B245-1</f>
        <v>0.16874400767018227</v>
      </c>
      <c r="H247" s="73"/>
      <c r="I247" s="73"/>
      <c r="J247" s="73"/>
      <c r="K247" s="73"/>
      <c r="L247" s="24">
        <f t="shared" ref="L247:R247" si="188">L245/G245-1</f>
        <v>0.19196062346185405</v>
      </c>
      <c r="M247" s="73">
        <f t="shared" si="188"/>
        <v>-0.6188340807174888</v>
      </c>
      <c r="N247" s="73">
        <f t="shared" si="188"/>
        <v>0.33628318584070804</v>
      </c>
      <c r="O247" s="73">
        <f t="shared" si="188"/>
        <v>0.42815249266862176</v>
      </c>
      <c r="P247" s="73">
        <f t="shared" si="188"/>
        <v>-0.36136363636363633</v>
      </c>
      <c r="Q247" s="24">
        <f t="shared" si="188"/>
        <v>-0.14659325533379219</v>
      </c>
      <c r="R247" s="73">
        <f t="shared" si="188"/>
        <v>0.68823529411764706</v>
      </c>
      <c r="S247" s="73">
        <f t="shared" ref="S247:Y247" si="189">S245/N245-1</f>
        <v>-0.25496688741721851</v>
      </c>
      <c r="T247" s="73">
        <f t="shared" si="189"/>
        <v>-9.4455852156057452E-2</v>
      </c>
      <c r="U247" s="73">
        <f t="shared" si="189"/>
        <v>-0.23154804270462648</v>
      </c>
      <c r="V247" s="24">
        <f t="shared" si="189"/>
        <v>-5.7310483870967821E-2</v>
      </c>
      <c r="W247" s="73">
        <f t="shared" si="189"/>
        <v>0.49128919860627174</v>
      </c>
      <c r="X247" s="73">
        <f t="shared" si="189"/>
        <v>-0.28888888888888886</v>
      </c>
      <c r="Y247" s="73">
        <f t="shared" si="189"/>
        <v>-0.28117913832199548</v>
      </c>
      <c r="Z247" s="73">
        <f t="shared" ref="Z247:AE247" si="190">Z245/U245-1</f>
        <v>1.0654363581633368</v>
      </c>
      <c r="AA247" s="24">
        <f t="shared" si="190"/>
        <v>0.15575288617416705</v>
      </c>
      <c r="AB247" s="73">
        <f t="shared" si="190"/>
        <v>-1.8691588785046731E-2</v>
      </c>
      <c r="AC247" s="73">
        <f t="shared" si="190"/>
        <v>2.0874999999999999</v>
      </c>
      <c r="AD247" s="73">
        <f t="shared" si="190"/>
        <v>0.51735015772870652</v>
      </c>
      <c r="AE247" s="73">
        <f t="shared" si="190"/>
        <v>-0.11659192825112108</v>
      </c>
      <c r="AF247" s="24">
        <v>0.32420429311621013</v>
      </c>
      <c r="AG247" s="73">
        <v>3.3333333333333437E-2</v>
      </c>
      <c r="AH247" s="73">
        <v>-0.23076923076923073</v>
      </c>
      <c r="AI247" s="73">
        <v>-4.7817047817047764E-2</v>
      </c>
      <c r="AJ247" s="73">
        <v>-2.0304568527918732E-2</v>
      </c>
      <c r="AK247" s="24">
        <v>-7.3225265511458915E-2</v>
      </c>
      <c r="AL247" s="73">
        <v>-0.24193548387096775</v>
      </c>
      <c r="AM247" s="73">
        <v>-9.210526315789469E-2</v>
      </c>
      <c r="AN247" s="73">
        <v>4.148471615720517E-2</v>
      </c>
      <c r="AO247" s="73">
        <v>0.30569948186528495</v>
      </c>
      <c r="AP247" s="24">
        <v>-1.8094089264173441E-3</v>
      </c>
      <c r="AQ247" s="73">
        <v>0.17021276595744683</v>
      </c>
      <c r="AR247" s="73">
        <v>-2.8985507246376274E-3</v>
      </c>
      <c r="AS247" s="73">
        <v>-0.28511530398322849</v>
      </c>
      <c r="AT247" s="73">
        <v>-0.42063492063492058</v>
      </c>
      <c r="AU247" s="24">
        <v>-0.17703927492447125</v>
      </c>
      <c r="AV247" s="73">
        <v>3.8961038961038863E-2</v>
      </c>
      <c r="AW247" s="73">
        <v>-0.23837209302325579</v>
      </c>
      <c r="AX247" s="73">
        <v>0.31671554252199408</v>
      </c>
      <c r="AY247" s="73">
        <v>0.31164383561643838</v>
      </c>
      <c r="AZ247" s="24">
        <v>9.6916299559471453E-2</v>
      </c>
      <c r="BA247" s="73">
        <v>-0.28749999999999998</v>
      </c>
      <c r="BB247" s="73">
        <v>-0.59160305343511443</v>
      </c>
      <c r="BC247" s="73">
        <v>-0.26503340757238303</v>
      </c>
      <c r="BD247" s="73">
        <v>0.66057441253263716</v>
      </c>
      <c r="BE247" s="24">
        <v>-9.1030789825970571E-2</v>
      </c>
    </row>
    <row r="248" spans="1:57" ht="1.95" customHeight="1">
      <c r="A248" s="44"/>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c r="AH248" s="45"/>
      <c r="AI248" s="45"/>
      <c r="AJ248" s="45"/>
      <c r="AK248" s="45"/>
      <c r="AL248" s="45"/>
      <c r="AM248" s="45"/>
      <c r="AN248" s="45"/>
      <c r="AO248" s="45"/>
      <c r="AP248" s="45"/>
      <c r="AQ248" s="45"/>
      <c r="AR248" s="45"/>
      <c r="AS248" s="45"/>
      <c r="AT248" s="45"/>
      <c r="AU248" s="45"/>
      <c r="AV248" s="45"/>
      <c r="AW248" s="45"/>
      <c r="AX248" s="45"/>
      <c r="AY248" s="45"/>
      <c r="AZ248" s="45"/>
      <c r="BA248" s="45"/>
      <c r="BB248" s="45"/>
      <c r="BC248" s="45"/>
      <c r="BD248" s="45"/>
      <c r="BE248" s="45"/>
    </row>
    <row r="249" spans="1:57" ht="1.2" hidden="1" customHeight="1">
      <c r="A249" s="97"/>
      <c r="B249" s="97"/>
      <c r="C249" s="97"/>
      <c r="D249" s="97"/>
      <c r="E249" s="97"/>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97"/>
      <c r="AY249" s="97"/>
      <c r="AZ249" s="97"/>
      <c r="BA249" s="97"/>
      <c r="BB249" s="97"/>
      <c r="BC249" s="97"/>
      <c r="BD249" s="97"/>
      <c r="BE249" s="97"/>
    </row>
    <row r="250" spans="1:57" ht="17.25" customHeight="1">
      <c r="A250" s="35" t="s">
        <v>87</v>
      </c>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27"/>
      <c r="AO250" s="27"/>
      <c r="AP250" s="27"/>
      <c r="AQ250" s="27"/>
      <c r="AR250" s="27"/>
      <c r="AS250" s="27"/>
      <c r="AT250" s="27"/>
      <c r="AU250" s="27"/>
      <c r="AV250" s="27"/>
      <c r="AW250" s="27"/>
      <c r="AX250" s="27"/>
      <c r="AY250" s="27"/>
      <c r="AZ250" s="27"/>
      <c r="BA250" s="27"/>
      <c r="BB250" s="27"/>
      <c r="BC250" s="27"/>
      <c r="BD250" s="27"/>
      <c r="BE250" s="27"/>
    </row>
    <row r="251" spans="1:57" ht="17.25" customHeight="1">
      <c r="A251" s="33"/>
      <c r="B251" s="22"/>
      <c r="C251" s="21"/>
      <c r="D251" s="21"/>
      <c r="E251" s="21"/>
      <c r="F251" s="21"/>
      <c r="G251" s="22"/>
      <c r="H251" s="21"/>
      <c r="I251" s="21"/>
      <c r="J251" s="21"/>
      <c r="K251" s="21"/>
      <c r="L251" s="22"/>
      <c r="M251" s="21"/>
      <c r="N251" s="21"/>
      <c r="O251" s="21"/>
      <c r="P251" s="21"/>
      <c r="Q251" s="22"/>
      <c r="R251" s="21"/>
      <c r="S251" s="21"/>
      <c r="T251" s="21"/>
      <c r="U251" s="21"/>
      <c r="V251" s="22"/>
      <c r="W251" s="21"/>
      <c r="X251" s="21"/>
      <c r="Y251" s="21"/>
      <c r="Z251" s="21"/>
      <c r="AA251" s="22"/>
      <c r="AB251" s="21"/>
      <c r="AC251" s="21"/>
      <c r="AD251" s="21"/>
      <c r="AE251" s="21"/>
      <c r="AF251" s="22"/>
      <c r="AG251" s="21"/>
      <c r="AH251" s="21"/>
      <c r="AI251" s="21"/>
      <c r="AJ251" s="21"/>
      <c r="AK251" s="22"/>
      <c r="AL251" s="21"/>
      <c r="AM251" s="21"/>
      <c r="AN251" s="21"/>
      <c r="AO251" s="21"/>
      <c r="AP251" s="22"/>
      <c r="AQ251" s="21"/>
      <c r="AR251" s="21"/>
      <c r="AS251" s="21"/>
      <c r="AT251" s="21"/>
      <c r="AU251" s="22"/>
      <c r="AV251" s="21"/>
      <c r="AW251" s="21"/>
      <c r="AX251" s="21"/>
      <c r="AY251" s="21"/>
      <c r="AZ251" s="22"/>
      <c r="BA251" s="21"/>
      <c r="BB251" s="21"/>
      <c r="BC251" s="21"/>
      <c r="BD251" s="21"/>
      <c r="BE251" s="22"/>
    </row>
    <row r="252" spans="1:57" ht="17.25" customHeight="1">
      <c r="A252" s="40" t="s">
        <v>86</v>
      </c>
      <c r="B252" s="41"/>
      <c r="C252" s="42"/>
      <c r="D252" s="42"/>
      <c r="E252" s="42"/>
      <c r="F252" s="42"/>
      <c r="G252" s="41"/>
      <c r="H252" s="42"/>
      <c r="I252" s="42"/>
      <c r="J252" s="42"/>
      <c r="K252" s="42"/>
      <c r="L252" s="41"/>
      <c r="M252" s="42"/>
      <c r="N252" s="42"/>
      <c r="O252" s="42"/>
      <c r="P252" s="42"/>
      <c r="Q252" s="41"/>
      <c r="R252" s="42"/>
      <c r="S252" s="42"/>
      <c r="T252" s="42"/>
      <c r="U252" s="42"/>
      <c r="V252" s="41"/>
      <c r="W252" s="42"/>
      <c r="X252" s="42"/>
      <c r="Y252" s="42"/>
      <c r="Z252" s="42"/>
      <c r="AA252" s="41"/>
      <c r="AB252" s="42"/>
      <c r="AC252" s="42"/>
      <c r="AD252" s="42"/>
      <c r="AE252" s="42"/>
      <c r="AF252" s="41"/>
      <c r="AG252" s="42"/>
      <c r="AH252" s="42"/>
      <c r="AI252" s="42"/>
      <c r="AJ252" s="42"/>
      <c r="AK252" s="41"/>
      <c r="AL252" s="42"/>
      <c r="AM252" s="42"/>
      <c r="AN252" s="42"/>
      <c r="AO252" s="42"/>
      <c r="AP252" s="41"/>
      <c r="AQ252" s="42"/>
      <c r="AR252" s="42"/>
      <c r="AS252" s="42"/>
      <c r="AT252" s="42"/>
      <c r="AU252" s="41"/>
      <c r="AV252" s="42"/>
      <c r="AW252" s="42"/>
      <c r="AX252" s="42"/>
      <c r="AY252" s="42"/>
      <c r="AZ252" s="41"/>
      <c r="BA252" s="42"/>
      <c r="BB252" s="42"/>
      <c r="BC252" s="42"/>
      <c r="BD252" s="42"/>
      <c r="BE252" s="41"/>
    </row>
    <row r="253" spans="1:57" ht="12.75" customHeight="1">
      <c r="A253" s="69" t="s">
        <v>95</v>
      </c>
      <c r="B253" s="37">
        <v>2121</v>
      </c>
      <c r="C253" s="80" t="s">
        <v>52</v>
      </c>
      <c r="D253" s="80" t="s">
        <v>52</v>
      </c>
      <c r="E253" s="80" t="s">
        <v>52</v>
      </c>
      <c r="F253" s="80" t="s">
        <v>52</v>
      </c>
      <c r="G253" s="37">
        <v>1873</v>
      </c>
      <c r="H253" s="80" t="s">
        <v>52</v>
      </c>
      <c r="I253" s="80" t="s">
        <v>52</v>
      </c>
      <c r="J253" s="80" t="s">
        <v>52</v>
      </c>
      <c r="K253" s="80" t="s">
        <v>52</v>
      </c>
      <c r="L253" s="37">
        <v>1690</v>
      </c>
      <c r="M253" s="80" t="s">
        <v>52</v>
      </c>
      <c r="N253" s="80" t="s">
        <v>52</v>
      </c>
      <c r="O253" s="80" t="s">
        <v>52</v>
      </c>
      <c r="P253" s="80" t="s">
        <v>52</v>
      </c>
      <c r="Q253" s="37">
        <v>1609</v>
      </c>
      <c r="R253" s="70">
        <v>271</v>
      </c>
      <c r="S253" s="70">
        <v>253</v>
      </c>
      <c r="T253" s="70">
        <v>282</v>
      </c>
      <c r="U253" s="70">
        <f>V253-R253-S253-T253</f>
        <v>268</v>
      </c>
      <c r="V253" s="37">
        <v>1074</v>
      </c>
      <c r="W253" s="70">
        <v>237</v>
      </c>
      <c r="X253" s="70">
        <v>263</v>
      </c>
      <c r="Y253" s="70">
        <v>278</v>
      </c>
      <c r="Z253" s="70">
        <f>AA253-W253-X253-Y253</f>
        <v>255</v>
      </c>
      <c r="AA253" s="37">
        <v>1033</v>
      </c>
      <c r="AB253" s="70">
        <f>AB259+AB262+AB265+AB256+AB268+AB271+AB274</f>
        <v>230</v>
      </c>
      <c r="AC253" s="70">
        <f>AC259+AC262+AC265+AC256+AC268+AC271+AC274</f>
        <v>218</v>
      </c>
      <c r="AD253" s="70">
        <f>AD259+AD262+AD265+AD256+AD268+AD271+AD274</f>
        <v>224</v>
      </c>
      <c r="AE253" s="70">
        <f>AF253-AB253-AC253-AD253</f>
        <v>223</v>
      </c>
      <c r="AF253" s="37">
        <v>895</v>
      </c>
      <c r="AG253" s="70">
        <v>190</v>
      </c>
      <c r="AH253" s="70">
        <v>188</v>
      </c>
      <c r="AI253" s="70">
        <v>203</v>
      </c>
      <c r="AJ253" s="70">
        <v>196</v>
      </c>
      <c r="AK253" s="37">
        <v>777</v>
      </c>
      <c r="AL253" s="70">
        <v>180</v>
      </c>
      <c r="AM253" s="70">
        <v>176</v>
      </c>
      <c r="AN253" s="70">
        <v>186</v>
      </c>
      <c r="AO253" s="70">
        <v>179</v>
      </c>
      <c r="AP253" s="37">
        <v>721</v>
      </c>
      <c r="AQ253" s="70">
        <v>172</v>
      </c>
      <c r="AR253" s="70">
        <v>170</v>
      </c>
      <c r="AS253" s="70">
        <v>183</v>
      </c>
      <c r="AT253" s="70">
        <v>180</v>
      </c>
      <c r="AU253" s="37">
        <v>705</v>
      </c>
      <c r="AV253" s="70">
        <v>165</v>
      </c>
      <c r="AW253" s="70">
        <v>166</v>
      </c>
      <c r="AX253" s="70">
        <v>183</v>
      </c>
      <c r="AY253" s="70">
        <v>163</v>
      </c>
      <c r="AZ253" s="37">
        <v>677</v>
      </c>
      <c r="BA253" s="70">
        <v>140</v>
      </c>
      <c r="BB253" s="70">
        <v>145</v>
      </c>
      <c r="BC253" s="70">
        <v>143</v>
      </c>
      <c r="BD253" s="70">
        <v>168</v>
      </c>
      <c r="BE253" s="37">
        <v>596</v>
      </c>
    </row>
    <row r="254" spans="1:57" ht="12.75" customHeight="1">
      <c r="A254" s="71" t="s">
        <v>7</v>
      </c>
      <c r="B254" s="24"/>
      <c r="C254" s="73"/>
      <c r="D254" s="73"/>
      <c r="E254" s="73"/>
      <c r="F254" s="73"/>
      <c r="G254" s="24"/>
      <c r="H254" s="73"/>
      <c r="I254" s="73"/>
      <c r="J254" s="73"/>
      <c r="K254" s="73"/>
      <c r="L254" s="24"/>
      <c r="M254" s="72"/>
      <c r="N254" s="72"/>
      <c r="O254" s="72"/>
      <c r="P254" s="72"/>
      <c r="Q254" s="24"/>
      <c r="R254" s="72"/>
      <c r="S254" s="72">
        <f>S253/R253-1</f>
        <v>-6.6420664206642055E-2</v>
      </c>
      <c r="T254" s="72">
        <f>T253/S253-1</f>
        <v>0.11462450592885376</v>
      </c>
      <c r="U254" s="72">
        <f>U253/T253-1</f>
        <v>-4.9645390070921946E-2</v>
      </c>
      <c r="V254" s="24"/>
      <c r="W254" s="72">
        <f>W253/U253-1</f>
        <v>-0.11567164179104472</v>
      </c>
      <c r="X254" s="72">
        <f>X253/W253-1</f>
        <v>0.10970464135021096</v>
      </c>
      <c r="Y254" s="72">
        <f>Y253/X253-1</f>
        <v>5.7034220532319324E-2</v>
      </c>
      <c r="Z254" s="72">
        <f>Z253/Y253-1</f>
        <v>-8.2733812949640329E-2</v>
      </c>
      <c r="AA254" s="24"/>
      <c r="AB254" s="72">
        <f>AB253/Z253-1</f>
        <v>-9.8039215686274495E-2</v>
      </c>
      <c r="AC254" s="72">
        <f>AC253/AB253-1</f>
        <v>-5.2173913043478293E-2</v>
      </c>
      <c r="AD254" s="72">
        <f>AD253/AC253-1</f>
        <v>2.7522935779816571E-2</v>
      </c>
      <c r="AE254" s="72">
        <f>AE253/AD253-1</f>
        <v>-4.4642857142856984E-3</v>
      </c>
      <c r="AF254" s="24"/>
      <c r="AG254" s="72">
        <v>-0.14798206278026904</v>
      </c>
      <c r="AH254" s="72">
        <v>-1.0526315789473717E-2</v>
      </c>
      <c r="AI254" s="72">
        <v>7.9787234042553168E-2</v>
      </c>
      <c r="AJ254" s="72">
        <v>-3.4482758620689613E-2</v>
      </c>
      <c r="AK254" s="24"/>
      <c r="AL254" s="72">
        <v>-8.1632653061224469E-2</v>
      </c>
      <c r="AM254" s="72">
        <v>-2.2222222222222254E-2</v>
      </c>
      <c r="AN254" s="72">
        <v>5.6818181818181879E-2</v>
      </c>
      <c r="AO254" s="72">
        <v>-3.7634408602150504E-2</v>
      </c>
      <c r="AP254" s="24"/>
      <c r="AQ254" s="72">
        <v>-3.9106145251396662E-2</v>
      </c>
      <c r="AR254" s="72">
        <v>-1.1627906976744207E-2</v>
      </c>
      <c r="AS254" s="72">
        <v>7.6470588235294068E-2</v>
      </c>
      <c r="AT254" s="72">
        <v>-1.6393442622950838E-2</v>
      </c>
      <c r="AU254" s="24"/>
      <c r="AV254" s="72">
        <v>-8.333333333333337E-2</v>
      </c>
      <c r="AW254" s="72">
        <v>6.0606060606060996E-3</v>
      </c>
      <c r="AX254" s="72">
        <v>0.10240963855421681</v>
      </c>
      <c r="AY254" s="72">
        <v>-0.10928961748633881</v>
      </c>
      <c r="AZ254" s="24"/>
      <c r="BA254" s="72">
        <v>-0.14110429447852757</v>
      </c>
      <c r="BB254" s="72">
        <v>3.5714285714285809E-2</v>
      </c>
      <c r="BC254" s="72">
        <v>-1.379310344827589E-2</v>
      </c>
      <c r="BD254" s="72">
        <v>0.17482517482517479</v>
      </c>
      <c r="BE254" s="24"/>
    </row>
    <row r="255" spans="1:57" ht="12.75" customHeight="1">
      <c r="A255" s="71" t="s">
        <v>8</v>
      </c>
      <c r="B255" s="24"/>
      <c r="C255" s="73"/>
      <c r="D255" s="73"/>
      <c r="E255" s="73"/>
      <c r="F255" s="73"/>
      <c r="G255" s="24">
        <f>G253/B253-1</f>
        <v>-0.11692597831211693</v>
      </c>
      <c r="H255" s="73"/>
      <c r="I255" s="73"/>
      <c r="J255" s="73"/>
      <c r="K255" s="73"/>
      <c r="L255" s="24">
        <f>L253/G253-1</f>
        <v>-9.7704217832354501E-2</v>
      </c>
      <c r="M255" s="73"/>
      <c r="N255" s="73"/>
      <c r="O255" s="73"/>
      <c r="P255" s="73"/>
      <c r="Q255" s="24">
        <f>Q253/L253-1</f>
        <v>-4.7928994082840237E-2</v>
      </c>
      <c r="R255" s="73"/>
      <c r="S255" s="73"/>
      <c r="T255" s="73"/>
      <c r="U255" s="73"/>
      <c r="V255" s="24">
        <f t="shared" ref="V255:AD255" si="191">V253/Q253-1</f>
        <v>-0.33250466128029832</v>
      </c>
      <c r="W255" s="73">
        <f t="shared" si="191"/>
        <v>-0.12546125461254609</v>
      </c>
      <c r="X255" s="73">
        <f t="shared" si="191"/>
        <v>3.9525691699604737E-2</v>
      </c>
      <c r="Y255" s="73">
        <f t="shared" si="191"/>
        <v>-1.4184397163120588E-2</v>
      </c>
      <c r="Z255" s="73">
        <f t="shared" si="191"/>
        <v>-4.8507462686567138E-2</v>
      </c>
      <c r="AA255" s="24">
        <f t="shared" si="191"/>
        <v>-3.8175046554934866E-2</v>
      </c>
      <c r="AB255" s="73">
        <f t="shared" si="191"/>
        <v>-2.9535864978902926E-2</v>
      </c>
      <c r="AC255" s="73">
        <f t="shared" si="191"/>
        <v>-0.17110266159695819</v>
      </c>
      <c r="AD255" s="73">
        <f t="shared" si="191"/>
        <v>-0.19424460431654678</v>
      </c>
      <c r="AE255" s="73">
        <f t="shared" ref="AE255" si="192">AE253/Z253-1</f>
        <v>-0.12549019607843137</v>
      </c>
      <c r="AF255" s="24">
        <v>-0.13359148112294283</v>
      </c>
      <c r="AG255" s="73">
        <v>-0.17391304347826086</v>
      </c>
      <c r="AH255" s="73">
        <v>-0.13761467889908252</v>
      </c>
      <c r="AI255" s="73">
        <v>-9.375E-2</v>
      </c>
      <c r="AJ255" s="73">
        <v>-0.12107623318385652</v>
      </c>
      <c r="AK255" s="24">
        <v>-0.13184357541899439</v>
      </c>
      <c r="AL255" s="73">
        <v>-5.2631578947368474E-2</v>
      </c>
      <c r="AM255" s="73">
        <v>-6.3829787234042534E-2</v>
      </c>
      <c r="AN255" s="73">
        <v>-8.3743842364532028E-2</v>
      </c>
      <c r="AO255" s="73">
        <v>-8.6734693877551061E-2</v>
      </c>
      <c r="AP255" s="24">
        <v>-7.2072072072072113E-2</v>
      </c>
      <c r="AQ255" s="73">
        <v>-4.4444444444444398E-2</v>
      </c>
      <c r="AR255" s="73">
        <v>-3.4090909090909061E-2</v>
      </c>
      <c r="AS255" s="73">
        <v>-1.6129032258064502E-2</v>
      </c>
      <c r="AT255" s="73">
        <v>5.5865921787709993E-3</v>
      </c>
      <c r="AU255" s="24">
        <v>-2.2191400832177521E-2</v>
      </c>
      <c r="AV255" s="73">
        <v>-4.0697674418604612E-2</v>
      </c>
      <c r="AW255" s="73">
        <v>-2.352941176470591E-2</v>
      </c>
      <c r="AX255" s="73">
        <v>0</v>
      </c>
      <c r="AY255" s="73">
        <v>-9.4444444444444442E-2</v>
      </c>
      <c r="AZ255" s="24">
        <v>-3.9716312056737535E-2</v>
      </c>
      <c r="BA255" s="73">
        <v>-0.15151515151515149</v>
      </c>
      <c r="BB255" s="73">
        <v>-0.12650602409638556</v>
      </c>
      <c r="BC255" s="73">
        <v>-0.21857923497267762</v>
      </c>
      <c r="BD255" s="73">
        <v>3.0674846625766916E-2</v>
      </c>
      <c r="BE255" s="24">
        <v>-0.11964549483013298</v>
      </c>
    </row>
    <row r="256" spans="1:57" ht="12.75" customHeight="1">
      <c r="A256" s="69" t="s">
        <v>90</v>
      </c>
      <c r="B256" s="123" t="s">
        <v>44</v>
      </c>
      <c r="C256" s="80" t="s">
        <v>52</v>
      </c>
      <c r="D256" s="80" t="s">
        <v>52</v>
      </c>
      <c r="E256" s="80" t="s">
        <v>52</v>
      </c>
      <c r="F256" s="80" t="s">
        <v>52</v>
      </c>
      <c r="G256" s="123" t="s">
        <v>44</v>
      </c>
      <c r="H256" s="80" t="s">
        <v>52</v>
      </c>
      <c r="I256" s="80" t="s">
        <v>52</v>
      </c>
      <c r="J256" s="80" t="s">
        <v>52</v>
      </c>
      <c r="K256" s="80" t="s">
        <v>52</v>
      </c>
      <c r="L256" s="37">
        <v>278</v>
      </c>
      <c r="M256" s="80" t="s">
        <v>52</v>
      </c>
      <c r="N256" s="80" t="s">
        <v>52</v>
      </c>
      <c r="O256" s="80" t="s">
        <v>52</v>
      </c>
      <c r="P256" s="80" t="s">
        <v>52</v>
      </c>
      <c r="Q256" s="37">
        <v>240</v>
      </c>
      <c r="R256" s="70">
        <v>62</v>
      </c>
      <c r="S256" s="70">
        <v>60</v>
      </c>
      <c r="T256" s="70">
        <v>63</v>
      </c>
      <c r="U256" s="70">
        <f>V256-R256-S256-T256</f>
        <v>62</v>
      </c>
      <c r="V256" s="37">
        <v>247</v>
      </c>
      <c r="W256" s="70">
        <v>63</v>
      </c>
      <c r="X256" s="70">
        <v>59</v>
      </c>
      <c r="Y256" s="70">
        <v>70</v>
      </c>
      <c r="Z256" s="70">
        <f>AA256-W256-X256-Y256</f>
        <v>53</v>
      </c>
      <c r="AA256" s="37">
        <v>245</v>
      </c>
      <c r="AB256" s="70">
        <v>59</v>
      </c>
      <c r="AC256" s="70">
        <v>55</v>
      </c>
      <c r="AD256" s="70">
        <v>61</v>
      </c>
      <c r="AE256" s="147">
        <f>AF256-AB256-AC256-AD256</f>
        <v>58</v>
      </c>
      <c r="AF256" s="37">
        <v>233</v>
      </c>
      <c r="AG256" s="70">
        <v>55</v>
      </c>
      <c r="AH256" s="70">
        <v>53</v>
      </c>
      <c r="AI256" s="70">
        <v>57</v>
      </c>
      <c r="AJ256" s="147">
        <v>52</v>
      </c>
      <c r="AK256" s="37">
        <v>217</v>
      </c>
      <c r="AL256" s="70">
        <v>51</v>
      </c>
      <c r="AM256" s="70">
        <v>47</v>
      </c>
      <c r="AN256" s="70">
        <v>54</v>
      </c>
      <c r="AO256" s="147">
        <v>50</v>
      </c>
      <c r="AP256" s="37">
        <v>202</v>
      </c>
      <c r="AQ256" s="70">
        <v>49</v>
      </c>
      <c r="AR256" s="70">
        <v>46</v>
      </c>
      <c r="AS256" s="70">
        <v>49</v>
      </c>
      <c r="AT256" s="147">
        <v>45</v>
      </c>
      <c r="AU256" s="37">
        <v>189</v>
      </c>
      <c r="AV256" s="70">
        <v>47</v>
      </c>
      <c r="AW256" s="70">
        <v>45</v>
      </c>
      <c r="AX256" s="70">
        <v>49</v>
      </c>
      <c r="AY256" s="147">
        <v>44</v>
      </c>
      <c r="AZ256" s="37">
        <v>185</v>
      </c>
      <c r="BA256" s="70">
        <v>34</v>
      </c>
      <c r="BB256" s="70">
        <v>31</v>
      </c>
      <c r="BC256" s="70">
        <v>38</v>
      </c>
      <c r="BD256" s="147">
        <v>40</v>
      </c>
      <c r="BE256" s="37">
        <v>143</v>
      </c>
    </row>
    <row r="257" spans="1:57" ht="12.75" customHeight="1">
      <c r="A257" s="71" t="s">
        <v>7</v>
      </c>
      <c r="B257" s="24"/>
      <c r="C257" s="72"/>
      <c r="D257" s="72"/>
      <c r="E257" s="72"/>
      <c r="F257" s="72"/>
      <c r="G257" s="24"/>
      <c r="H257" s="72"/>
      <c r="I257" s="72"/>
      <c r="J257" s="72"/>
      <c r="K257" s="72"/>
      <c r="L257" s="24"/>
      <c r="M257" s="72"/>
      <c r="N257" s="72"/>
      <c r="O257" s="72"/>
      <c r="P257" s="72"/>
      <c r="Q257" s="24"/>
      <c r="R257" s="72"/>
      <c r="S257" s="72">
        <f>S256/R256-1</f>
        <v>-3.2258064516129004E-2</v>
      </c>
      <c r="T257" s="72">
        <f>T256/S256-1</f>
        <v>5.0000000000000044E-2</v>
      </c>
      <c r="U257" s="72">
        <f>U256/T256-1</f>
        <v>-1.5873015873015928E-2</v>
      </c>
      <c r="V257" s="24"/>
      <c r="W257" s="72">
        <f>W256/U256-1</f>
        <v>1.6129032258064502E-2</v>
      </c>
      <c r="X257" s="72">
        <f>X256/W256-1</f>
        <v>-6.3492063492063489E-2</v>
      </c>
      <c r="Y257" s="72">
        <f>Y256/X256-1</f>
        <v>0.18644067796610164</v>
      </c>
      <c r="Z257" s="72">
        <f>Z256/Y256-1</f>
        <v>-0.24285714285714288</v>
      </c>
      <c r="AA257" s="24"/>
      <c r="AB257" s="72">
        <f>AB256/Z256-1</f>
        <v>0.1132075471698113</v>
      </c>
      <c r="AC257" s="72">
        <f>AC256/AB256-1</f>
        <v>-6.7796610169491567E-2</v>
      </c>
      <c r="AD257" s="72">
        <f>AD256/AC256-1</f>
        <v>0.10909090909090913</v>
      </c>
      <c r="AE257" s="72">
        <f>AE256/AD256-1</f>
        <v>-4.9180327868852514E-2</v>
      </c>
      <c r="AF257" s="24"/>
      <c r="AG257" s="72">
        <v>-5.1724137931034475E-2</v>
      </c>
      <c r="AH257" s="72">
        <v>-3.6363636363636376E-2</v>
      </c>
      <c r="AI257" s="72">
        <v>7.547169811320753E-2</v>
      </c>
      <c r="AJ257" s="72">
        <v>-8.7719298245614086E-2</v>
      </c>
      <c r="AK257" s="24"/>
      <c r="AL257" s="72">
        <v>-1.9230769230769273E-2</v>
      </c>
      <c r="AM257" s="72">
        <v>-7.8431372549019662E-2</v>
      </c>
      <c r="AN257" s="72">
        <v>0.14893617021276606</v>
      </c>
      <c r="AO257" s="72">
        <v>-7.407407407407407E-2</v>
      </c>
      <c r="AP257" s="24"/>
      <c r="AQ257" s="72">
        <v>-2.0000000000000018E-2</v>
      </c>
      <c r="AR257" s="72">
        <v>-6.1224489795918324E-2</v>
      </c>
      <c r="AS257" s="72">
        <v>6.5217391304347894E-2</v>
      </c>
      <c r="AT257" s="72">
        <v>-8.1632653061224469E-2</v>
      </c>
      <c r="AU257" s="24"/>
      <c r="AV257" s="72">
        <v>4.4444444444444509E-2</v>
      </c>
      <c r="AW257" s="72">
        <v>-4.2553191489361653E-2</v>
      </c>
      <c r="AX257" s="72">
        <v>8.8888888888888795E-2</v>
      </c>
      <c r="AY257" s="72">
        <v>-0.10204081632653061</v>
      </c>
      <c r="AZ257" s="24"/>
      <c r="BA257" s="72">
        <v>-0.22727272727272729</v>
      </c>
      <c r="BB257" s="72">
        <v>-8.8235294117647078E-2</v>
      </c>
      <c r="BC257" s="72">
        <v>0.22580645161290325</v>
      </c>
      <c r="BD257" s="72">
        <v>5.2631578947368363E-2</v>
      </c>
      <c r="BE257" s="24"/>
    </row>
    <row r="258" spans="1:57" ht="12.75" customHeight="1">
      <c r="A258" s="71" t="s">
        <v>8</v>
      </c>
      <c r="B258" s="24"/>
      <c r="C258" s="73"/>
      <c r="D258" s="73"/>
      <c r="E258" s="73"/>
      <c r="F258" s="73"/>
      <c r="G258" s="24"/>
      <c r="H258" s="73"/>
      <c r="I258" s="73"/>
      <c r="J258" s="73"/>
      <c r="K258" s="73"/>
      <c r="L258" s="24"/>
      <c r="M258" s="73"/>
      <c r="N258" s="73"/>
      <c r="O258" s="73"/>
      <c r="P258" s="73"/>
      <c r="Q258" s="24">
        <f>Q256/L256-1</f>
        <v>-0.13669064748201443</v>
      </c>
      <c r="R258" s="73"/>
      <c r="S258" s="73"/>
      <c r="T258" s="73"/>
      <c r="U258" s="73"/>
      <c r="V258" s="24">
        <f t="shared" ref="V258:AD258" si="193">V256/Q256-1</f>
        <v>2.9166666666666563E-2</v>
      </c>
      <c r="W258" s="73">
        <f t="shared" si="193"/>
        <v>1.6129032258064502E-2</v>
      </c>
      <c r="X258" s="73">
        <f t="shared" si="193"/>
        <v>-1.6666666666666718E-2</v>
      </c>
      <c r="Y258" s="73">
        <f t="shared" si="193"/>
        <v>0.11111111111111116</v>
      </c>
      <c r="Z258" s="73">
        <f t="shared" si="193"/>
        <v>-0.14516129032258063</v>
      </c>
      <c r="AA258" s="24">
        <f t="shared" si="193"/>
        <v>-8.0971659919027994E-3</v>
      </c>
      <c r="AB258" s="73">
        <f t="shared" si="193"/>
        <v>-6.3492063492063489E-2</v>
      </c>
      <c r="AC258" s="73">
        <f t="shared" si="193"/>
        <v>-6.7796610169491567E-2</v>
      </c>
      <c r="AD258" s="73">
        <f t="shared" si="193"/>
        <v>-0.12857142857142856</v>
      </c>
      <c r="AE258" s="73">
        <f t="shared" ref="AE258" si="194">AE256/Z256-1</f>
        <v>9.4339622641509413E-2</v>
      </c>
      <c r="AF258" s="24">
        <v>-4.8979591836734726E-2</v>
      </c>
      <c r="AG258" s="73">
        <v>-6.7796610169491567E-2</v>
      </c>
      <c r="AH258" s="73">
        <v>-3.6363636363636376E-2</v>
      </c>
      <c r="AI258" s="73">
        <v>-6.557377049180324E-2</v>
      </c>
      <c r="AJ258" s="73">
        <v>-0.10344827586206895</v>
      </c>
      <c r="AK258" s="24">
        <v>-6.8669527896995763E-2</v>
      </c>
      <c r="AL258" s="73">
        <v>-7.2727272727272751E-2</v>
      </c>
      <c r="AM258" s="73">
        <v>-0.1132075471698113</v>
      </c>
      <c r="AN258" s="73">
        <v>-5.2631578947368474E-2</v>
      </c>
      <c r="AO258" s="73">
        <v>-3.8461538461538436E-2</v>
      </c>
      <c r="AP258" s="24">
        <v>-6.9124423963133674E-2</v>
      </c>
      <c r="AQ258" s="73">
        <v>-3.9215686274509776E-2</v>
      </c>
      <c r="AR258" s="73">
        <v>-2.1276595744680882E-2</v>
      </c>
      <c r="AS258" s="73">
        <v>-9.259259259259256E-2</v>
      </c>
      <c r="AT258" s="73">
        <v>-9.9999999999999978E-2</v>
      </c>
      <c r="AU258" s="24">
        <v>-6.4356435643564303E-2</v>
      </c>
      <c r="AV258" s="73">
        <v>-4.081632653061229E-2</v>
      </c>
      <c r="AW258" s="73">
        <v>-2.1739130434782594E-2</v>
      </c>
      <c r="AX258" s="73">
        <v>0</v>
      </c>
      <c r="AY258" s="73">
        <v>-2.2222222222222254E-2</v>
      </c>
      <c r="AZ258" s="24">
        <v>-2.1164021164021163E-2</v>
      </c>
      <c r="BA258" s="73">
        <v>-0.27659574468085102</v>
      </c>
      <c r="BB258" s="73">
        <v>-0.31111111111111112</v>
      </c>
      <c r="BC258" s="73">
        <v>-0.22448979591836737</v>
      </c>
      <c r="BD258" s="73">
        <v>-9.0909090909090939E-2</v>
      </c>
      <c r="BE258" s="24">
        <v>-0.22702702702702704</v>
      </c>
    </row>
    <row r="259" spans="1:57" ht="12.75" customHeight="1">
      <c r="A259" s="69" t="s">
        <v>88</v>
      </c>
      <c r="B259" s="123" t="s">
        <v>44</v>
      </c>
      <c r="C259" s="80" t="s">
        <v>52</v>
      </c>
      <c r="D259" s="80" t="s">
        <v>52</v>
      </c>
      <c r="E259" s="80" t="s">
        <v>52</v>
      </c>
      <c r="F259" s="80" t="s">
        <v>52</v>
      </c>
      <c r="G259" s="123" t="s">
        <v>44</v>
      </c>
      <c r="H259" s="80" t="s">
        <v>52</v>
      </c>
      <c r="I259" s="80" t="s">
        <v>52</v>
      </c>
      <c r="J259" s="80" t="s">
        <v>52</v>
      </c>
      <c r="K259" s="80" t="s">
        <v>52</v>
      </c>
      <c r="L259" s="37">
        <v>871</v>
      </c>
      <c r="M259" s="80" t="s">
        <v>52</v>
      </c>
      <c r="N259" s="80" t="s">
        <v>52</v>
      </c>
      <c r="O259" s="80" t="s">
        <v>52</v>
      </c>
      <c r="P259" s="80" t="s">
        <v>52</v>
      </c>
      <c r="Q259" s="37">
        <v>855</v>
      </c>
      <c r="R259" s="70">
        <v>79</v>
      </c>
      <c r="S259" s="70">
        <v>78</v>
      </c>
      <c r="T259" s="70">
        <v>79</v>
      </c>
      <c r="U259" s="70">
        <f>V259-R259-S259-T259</f>
        <v>78</v>
      </c>
      <c r="V259" s="37">
        <v>314</v>
      </c>
      <c r="W259" s="70">
        <v>75</v>
      </c>
      <c r="X259" s="70">
        <v>72</v>
      </c>
      <c r="Y259" s="70">
        <v>70</v>
      </c>
      <c r="Z259" s="70">
        <f>AA259-W259-X259-Y259</f>
        <v>64</v>
      </c>
      <c r="AA259" s="37">
        <v>281</v>
      </c>
      <c r="AB259" s="70">
        <v>57</v>
      </c>
      <c r="AC259" s="70">
        <v>58</v>
      </c>
      <c r="AD259" s="70">
        <v>55</v>
      </c>
      <c r="AE259" s="70">
        <f>AF259-AB259-AC259-AD259</f>
        <v>50</v>
      </c>
      <c r="AF259" s="37">
        <v>220</v>
      </c>
      <c r="AG259" s="70">
        <v>42</v>
      </c>
      <c r="AH259" s="70">
        <v>39</v>
      </c>
      <c r="AI259" s="70">
        <v>42</v>
      </c>
      <c r="AJ259" s="70">
        <v>38</v>
      </c>
      <c r="AK259" s="37">
        <v>161</v>
      </c>
      <c r="AL259" s="70">
        <v>38</v>
      </c>
      <c r="AM259" s="70">
        <v>37</v>
      </c>
      <c r="AN259" s="70">
        <v>35</v>
      </c>
      <c r="AO259" s="70">
        <v>35</v>
      </c>
      <c r="AP259" s="37">
        <v>145</v>
      </c>
      <c r="AQ259" s="70">
        <v>34</v>
      </c>
      <c r="AR259" s="70">
        <v>33</v>
      </c>
      <c r="AS259" s="70">
        <v>34</v>
      </c>
      <c r="AT259" s="70">
        <v>29</v>
      </c>
      <c r="AU259" s="37">
        <v>130</v>
      </c>
      <c r="AV259" s="70">
        <v>31</v>
      </c>
      <c r="AW259" s="70">
        <v>29</v>
      </c>
      <c r="AX259" s="70">
        <v>31</v>
      </c>
      <c r="AY259" s="70">
        <v>27</v>
      </c>
      <c r="AZ259" s="37">
        <v>118</v>
      </c>
      <c r="BA259" s="70">
        <v>28</v>
      </c>
      <c r="BB259" s="70">
        <v>27</v>
      </c>
      <c r="BC259" s="70">
        <v>25</v>
      </c>
      <c r="BD259" s="70">
        <v>28</v>
      </c>
      <c r="BE259" s="37">
        <v>108</v>
      </c>
    </row>
    <row r="260" spans="1:57" ht="12.75" customHeight="1">
      <c r="A260" s="71" t="s">
        <v>7</v>
      </c>
      <c r="B260" s="24"/>
      <c r="C260" s="72"/>
      <c r="D260" s="72"/>
      <c r="E260" s="72"/>
      <c r="F260" s="72"/>
      <c r="G260" s="24"/>
      <c r="H260" s="72"/>
      <c r="I260" s="72"/>
      <c r="J260" s="72"/>
      <c r="K260" s="72"/>
      <c r="L260" s="24"/>
      <c r="M260" s="72"/>
      <c r="N260" s="72"/>
      <c r="O260" s="72"/>
      <c r="P260" s="72"/>
      <c r="Q260" s="24"/>
      <c r="R260" s="72"/>
      <c r="S260" s="72">
        <f>S259/R259-1</f>
        <v>-1.2658227848101222E-2</v>
      </c>
      <c r="T260" s="72">
        <f>T259/S259-1</f>
        <v>1.2820512820512775E-2</v>
      </c>
      <c r="U260" s="72">
        <f>U259/T259-1</f>
        <v>-1.2658227848101222E-2</v>
      </c>
      <c r="V260" s="24"/>
      <c r="W260" s="72">
        <f>W259/U259-1</f>
        <v>-3.8461538461538436E-2</v>
      </c>
      <c r="X260" s="72">
        <f>X259/W259-1</f>
        <v>-4.0000000000000036E-2</v>
      </c>
      <c r="Y260" s="72">
        <f>Y259/X259-1</f>
        <v>-2.777777777777779E-2</v>
      </c>
      <c r="Z260" s="72">
        <f>Z259/Y259-1</f>
        <v>-8.5714285714285743E-2</v>
      </c>
      <c r="AA260" s="24"/>
      <c r="AB260" s="72">
        <f>AB259/Z259-1</f>
        <v>-0.109375</v>
      </c>
      <c r="AC260" s="72">
        <f>AC259/AB259-1</f>
        <v>1.7543859649122862E-2</v>
      </c>
      <c r="AD260" s="72">
        <f>AD259/AC259-1</f>
        <v>-5.1724137931034475E-2</v>
      </c>
      <c r="AE260" s="72">
        <f>AE259/AD259-1</f>
        <v>-9.0909090909090939E-2</v>
      </c>
      <c r="AF260" s="24"/>
      <c r="AG260" s="72">
        <v>-0.16000000000000003</v>
      </c>
      <c r="AH260" s="72">
        <v>-7.1428571428571397E-2</v>
      </c>
      <c r="AI260" s="72">
        <v>7.6923076923076872E-2</v>
      </c>
      <c r="AJ260" s="72">
        <v>-9.5238095238095233E-2</v>
      </c>
      <c r="AK260" s="24"/>
      <c r="AL260" s="72">
        <v>0</v>
      </c>
      <c r="AM260" s="72">
        <v>-2.6315789473684181E-2</v>
      </c>
      <c r="AN260" s="72">
        <v>-5.4054054054054057E-2</v>
      </c>
      <c r="AO260" s="72">
        <v>0</v>
      </c>
      <c r="AP260" s="24"/>
      <c r="AQ260" s="72">
        <v>-2.8571428571428581E-2</v>
      </c>
      <c r="AR260" s="72">
        <v>-2.9411764705882359E-2</v>
      </c>
      <c r="AS260" s="72">
        <v>3.0303030303030276E-2</v>
      </c>
      <c r="AT260" s="72">
        <v>-0.1470588235294118</v>
      </c>
      <c r="AU260" s="24"/>
      <c r="AV260" s="72">
        <v>6.8965517241379226E-2</v>
      </c>
      <c r="AW260" s="72">
        <v>-6.4516129032258118E-2</v>
      </c>
      <c r="AX260" s="72">
        <v>6.8965517241379226E-2</v>
      </c>
      <c r="AY260" s="72">
        <v>-0.12903225806451613</v>
      </c>
      <c r="AZ260" s="24"/>
      <c r="BA260" s="72">
        <v>3.7037037037036979E-2</v>
      </c>
      <c r="BB260" s="72">
        <v>-3.5714285714285698E-2</v>
      </c>
      <c r="BC260" s="72">
        <v>-7.407407407407407E-2</v>
      </c>
      <c r="BD260" s="72">
        <v>0.12000000000000011</v>
      </c>
      <c r="BE260" s="24"/>
    </row>
    <row r="261" spans="1:57" ht="12.75" customHeight="1">
      <c r="A261" s="71" t="s">
        <v>8</v>
      </c>
      <c r="B261" s="24"/>
      <c r="C261" s="73"/>
      <c r="D261" s="73"/>
      <c r="E261" s="73"/>
      <c r="F261" s="73"/>
      <c r="G261" s="24"/>
      <c r="H261" s="73"/>
      <c r="I261" s="73"/>
      <c r="J261" s="73"/>
      <c r="K261" s="73"/>
      <c r="L261" s="24"/>
      <c r="M261" s="73"/>
      <c r="N261" s="73"/>
      <c r="O261" s="73"/>
      <c r="P261" s="73"/>
      <c r="Q261" s="24">
        <f>Q259/L259-1</f>
        <v>-1.8369690011481032E-2</v>
      </c>
      <c r="R261" s="73"/>
      <c r="S261" s="73"/>
      <c r="T261" s="73"/>
      <c r="U261" s="73"/>
      <c r="V261" s="24">
        <f t="shared" ref="V261:AD261" si="195">V259/Q259-1</f>
        <v>-0.63274853801169595</v>
      </c>
      <c r="W261" s="73">
        <f t="shared" si="195"/>
        <v>-5.0632911392405111E-2</v>
      </c>
      <c r="X261" s="73">
        <f t="shared" si="195"/>
        <v>-7.6923076923076872E-2</v>
      </c>
      <c r="Y261" s="73">
        <f t="shared" si="195"/>
        <v>-0.11392405063291144</v>
      </c>
      <c r="Z261" s="73">
        <f t="shared" si="195"/>
        <v>-0.17948717948717952</v>
      </c>
      <c r="AA261" s="24">
        <f t="shared" si="195"/>
        <v>-0.10509554140127386</v>
      </c>
      <c r="AB261" s="73">
        <f t="shared" si="195"/>
        <v>-0.24</v>
      </c>
      <c r="AC261" s="73">
        <f t="shared" si="195"/>
        <v>-0.19444444444444442</v>
      </c>
      <c r="AD261" s="73">
        <f t="shared" si="195"/>
        <v>-0.2142857142857143</v>
      </c>
      <c r="AE261" s="73">
        <f t="shared" ref="AE261" si="196">AE259/Z259-1</f>
        <v>-0.21875</v>
      </c>
      <c r="AF261" s="24">
        <v>-0.2170818505338078</v>
      </c>
      <c r="AG261" s="73">
        <v>-0.26315789473684215</v>
      </c>
      <c r="AH261" s="73">
        <v>-0.32758620689655171</v>
      </c>
      <c r="AI261" s="73">
        <v>-0.23636363636363633</v>
      </c>
      <c r="AJ261" s="73">
        <v>-0.24</v>
      </c>
      <c r="AK261" s="24">
        <v>-0.26818181818181819</v>
      </c>
      <c r="AL261" s="73">
        <v>-9.5238095238095233E-2</v>
      </c>
      <c r="AM261" s="73">
        <v>-5.1282051282051322E-2</v>
      </c>
      <c r="AN261" s="73">
        <v>-0.16666666666666663</v>
      </c>
      <c r="AO261" s="73">
        <v>-7.8947368421052655E-2</v>
      </c>
      <c r="AP261" s="24">
        <v>-9.9378881987577605E-2</v>
      </c>
      <c r="AQ261" s="73">
        <v>-0.10526315789473684</v>
      </c>
      <c r="AR261" s="73">
        <v>-0.10810810810810811</v>
      </c>
      <c r="AS261" s="73">
        <v>-2.8571428571428581E-2</v>
      </c>
      <c r="AT261" s="73">
        <v>-0.17142857142857137</v>
      </c>
      <c r="AU261" s="24">
        <v>-0.10344827586206895</v>
      </c>
      <c r="AV261" s="73">
        <v>-8.8235294117647078E-2</v>
      </c>
      <c r="AW261" s="73">
        <v>-0.12121212121212122</v>
      </c>
      <c r="AX261" s="73">
        <v>-8.8235294117647078E-2</v>
      </c>
      <c r="AY261" s="73">
        <v>-6.8965517241379337E-2</v>
      </c>
      <c r="AZ261" s="24">
        <v>-9.2307692307692313E-2</v>
      </c>
      <c r="BA261" s="73">
        <v>-9.6774193548387122E-2</v>
      </c>
      <c r="BB261" s="73">
        <v>-6.8965517241379337E-2</v>
      </c>
      <c r="BC261" s="73">
        <v>-0.19354838709677424</v>
      </c>
      <c r="BD261" s="73">
        <v>3.7037037037036979E-2</v>
      </c>
      <c r="BE261" s="24">
        <v>-8.4745762711864403E-2</v>
      </c>
    </row>
    <row r="262" spans="1:57" ht="12.75" customHeight="1">
      <c r="A262" s="69" t="s">
        <v>101</v>
      </c>
      <c r="B262" s="123" t="s">
        <v>44</v>
      </c>
      <c r="C262" s="80" t="s">
        <v>52</v>
      </c>
      <c r="D262" s="80" t="s">
        <v>52</v>
      </c>
      <c r="E262" s="80" t="s">
        <v>52</v>
      </c>
      <c r="F262" s="80" t="s">
        <v>52</v>
      </c>
      <c r="G262" s="123" t="s">
        <v>44</v>
      </c>
      <c r="H262" s="80" t="s">
        <v>52</v>
      </c>
      <c r="I262" s="80" t="s">
        <v>52</v>
      </c>
      <c r="J262" s="80" t="s">
        <v>52</v>
      </c>
      <c r="K262" s="80" t="s">
        <v>52</v>
      </c>
      <c r="L262" s="37">
        <v>218</v>
      </c>
      <c r="M262" s="80" t="s">
        <v>52</v>
      </c>
      <c r="N262" s="80" t="s">
        <v>52</v>
      </c>
      <c r="O262" s="80" t="s">
        <v>52</v>
      </c>
      <c r="P262" s="80" t="s">
        <v>52</v>
      </c>
      <c r="Q262" s="37">
        <v>196</v>
      </c>
      <c r="R262" s="70">
        <v>47</v>
      </c>
      <c r="S262" s="70">
        <v>42</v>
      </c>
      <c r="T262" s="70">
        <v>58</v>
      </c>
      <c r="U262" s="70">
        <f>V262-R262-S262-T262</f>
        <v>47</v>
      </c>
      <c r="V262" s="37">
        <v>194</v>
      </c>
      <c r="W262" s="70">
        <v>8</v>
      </c>
      <c r="X262" s="70">
        <v>42</v>
      </c>
      <c r="Y262" s="70">
        <v>54</v>
      </c>
      <c r="Z262" s="70">
        <f>AA262-W262-X262-Y262</f>
        <v>55</v>
      </c>
      <c r="AA262" s="37">
        <v>159</v>
      </c>
      <c r="AB262" s="70">
        <v>44</v>
      </c>
      <c r="AC262" s="70">
        <v>41</v>
      </c>
      <c r="AD262" s="70">
        <v>47</v>
      </c>
      <c r="AE262" s="70">
        <f>AF262-AB262-AC262-AD262</f>
        <v>54</v>
      </c>
      <c r="AF262" s="37">
        <v>186</v>
      </c>
      <c r="AG262" s="70">
        <v>48</v>
      </c>
      <c r="AH262" s="147">
        <v>52</v>
      </c>
      <c r="AI262" s="70">
        <v>59</v>
      </c>
      <c r="AJ262" s="70">
        <v>54</v>
      </c>
      <c r="AK262" s="37">
        <v>213</v>
      </c>
      <c r="AL262" s="70">
        <v>47</v>
      </c>
      <c r="AM262" s="70">
        <v>48</v>
      </c>
      <c r="AN262" s="70">
        <v>49</v>
      </c>
      <c r="AO262" s="70">
        <v>44</v>
      </c>
      <c r="AP262" s="37">
        <v>188</v>
      </c>
      <c r="AQ262" s="70">
        <v>43</v>
      </c>
      <c r="AR262" s="70">
        <v>44</v>
      </c>
      <c r="AS262" s="70">
        <v>55</v>
      </c>
      <c r="AT262" s="70">
        <v>53</v>
      </c>
      <c r="AU262" s="37">
        <v>195</v>
      </c>
      <c r="AV262" s="70">
        <v>42</v>
      </c>
      <c r="AW262" s="70">
        <v>44</v>
      </c>
      <c r="AX262" s="70">
        <v>54</v>
      </c>
      <c r="AY262" s="70">
        <v>48</v>
      </c>
      <c r="AZ262" s="37">
        <v>188</v>
      </c>
      <c r="BA262" s="70">
        <v>40</v>
      </c>
      <c r="BB262" s="70">
        <v>49</v>
      </c>
      <c r="BC262" s="70">
        <v>42</v>
      </c>
      <c r="BD262" s="70">
        <v>52</v>
      </c>
      <c r="BE262" s="37">
        <v>183</v>
      </c>
    </row>
    <row r="263" spans="1:57" ht="12.75" customHeight="1">
      <c r="A263" s="71" t="s">
        <v>7</v>
      </c>
      <c r="B263" s="24"/>
      <c r="C263" s="72"/>
      <c r="D263" s="72"/>
      <c r="E263" s="72"/>
      <c r="F263" s="72"/>
      <c r="G263" s="24"/>
      <c r="H263" s="72"/>
      <c r="I263" s="72"/>
      <c r="J263" s="72"/>
      <c r="K263" s="72"/>
      <c r="L263" s="24"/>
      <c r="M263" s="72"/>
      <c r="N263" s="72"/>
      <c r="O263" s="72"/>
      <c r="P263" s="72"/>
      <c r="Q263" s="24"/>
      <c r="R263" s="72"/>
      <c r="S263" s="72">
        <f>S262/R262-1</f>
        <v>-0.1063829787234043</v>
      </c>
      <c r="T263" s="72">
        <f>T262/S262-1</f>
        <v>0.38095238095238093</v>
      </c>
      <c r="U263" s="72">
        <f>U262/T262-1</f>
        <v>-0.18965517241379315</v>
      </c>
      <c r="V263" s="24"/>
      <c r="W263" s="72">
        <f>W262/U262-1</f>
        <v>-0.82978723404255317</v>
      </c>
      <c r="X263" s="72">
        <f>X262/W262-1</f>
        <v>4.25</v>
      </c>
      <c r="Y263" s="72">
        <f>Y262/X262-1</f>
        <v>0.28571428571428581</v>
      </c>
      <c r="Z263" s="72">
        <f>Z262/Y262-1</f>
        <v>1.8518518518518601E-2</v>
      </c>
      <c r="AA263" s="24"/>
      <c r="AB263" s="72">
        <f>AB262/Z262-1</f>
        <v>-0.19999999999999996</v>
      </c>
      <c r="AC263" s="72">
        <f>AC262/AB262-1</f>
        <v>-6.8181818181818232E-2</v>
      </c>
      <c r="AD263" s="72">
        <f>AD262/AC262-1</f>
        <v>0.14634146341463405</v>
      </c>
      <c r="AE263" s="72">
        <f>AE262/AD262-1</f>
        <v>0.14893617021276606</v>
      </c>
      <c r="AF263" s="24"/>
      <c r="AG263" s="72">
        <v>-0.11111111111111116</v>
      </c>
      <c r="AH263" s="72">
        <v>8.3333333333333259E-2</v>
      </c>
      <c r="AI263" s="72">
        <v>0.13461538461538458</v>
      </c>
      <c r="AJ263" s="72">
        <v>-8.4745762711864403E-2</v>
      </c>
      <c r="AK263" s="24"/>
      <c r="AL263" s="72">
        <v>-0.12962962962962965</v>
      </c>
      <c r="AM263" s="72">
        <v>2.1276595744680771E-2</v>
      </c>
      <c r="AN263" s="72">
        <v>2.0833333333333259E-2</v>
      </c>
      <c r="AO263" s="72">
        <v>-0.10204081632653061</v>
      </c>
      <c r="AP263" s="24"/>
      <c r="AQ263" s="72">
        <v>-2.2727272727272707E-2</v>
      </c>
      <c r="AR263" s="72">
        <v>2.3255813953488413E-2</v>
      </c>
      <c r="AS263" s="72">
        <v>0.25</v>
      </c>
      <c r="AT263" s="72">
        <v>-3.6363636363636376E-2</v>
      </c>
      <c r="AU263" s="24"/>
      <c r="AV263" s="72">
        <v>-0.20754716981132071</v>
      </c>
      <c r="AW263" s="72">
        <v>4.7619047619047672E-2</v>
      </c>
      <c r="AX263" s="72">
        <v>0.22727272727272729</v>
      </c>
      <c r="AY263" s="72">
        <v>-0.11111111111111116</v>
      </c>
      <c r="AZ263" s="24"/>
      <c r="BA263" s="72">
        <v>-0.16666666666666663</v>
      </c>
      <c r="BB263" s="72">
        <v>0.22500000000000009</v>
      </c>
      <c r="BC263" s="72">
        <v>-0.1428571428571429</v>
      </c>
      <c r="BD263" s="72">
        <v>0.23809523809523814</v>
      </c>
      <c r="BE263" s="24"/>
    </row>
    <row r="264" spans="1:57" ht="12.75" customHeight="1">
      <c r="A264" s="71" t="s">
        <v>8</v>
      </c>
      <c r="B264" s="24"/>
      <c r="C264" s="73"/>
      <c r="D264" s="73"/>
      <c r="E264" s="73"/>
      <c r="F264" s="73"/>
      <c r="G264" s="24"/>
      <c r="H264" s="73"/>
      <c r="I264" s="73"/>
      <c r="J264" s="73"/>
      <c r="K264" s="73"/>
      <c r="L264" s="24"/>
      <c r="M264" s="73"/>
      <c r="N264" s="73"/>
      <c r="O264" s="73"/>
      <c r="P264" s="73"/>
      <c r="Q264" s="24">
        <f>Q262/L262-1</f>
        <v>-0.1009174311926605</v>
      </c>
      <c r="R264" s="73"/>
      <c r="S264" s="73"/>
      <c r="T264" s="73"/>
      <c r="U264" s="73"/>
      <c r="V264" s="24">
        <f t="shared" ref="V264:AD264" si="197">V262/Q262-1</f>
        <v>-1.0204081632653073E-2</v>
      </c>
      <c r="W264" s="73">
        <f t="shared" si="197"/>
        <v>-0.82978723404255317</v>
      </c>
      <c r="X264" s="73">
        <f t="shared" si="197"/>
        <v>0</v>
      </c>
      <c r="Y264" s="73">
        <f t="shared" si="197"/>
        <v>-6.8965517241379337E-2</v>
      </c>
      <c r="Z264" s="73">
        <f t="shared" si="197"/>
        <v>0.17021276595744683</v>
      </c>
      <c r="AA264" s="24">
        <f t="shared" si="197"/>
        <v>-0.18041237113402064</v>
      </c>
      <c r="AB264" s="73">
        <f t="shared" si="197"/>
        <v>4.5</v>
      </c>
      <c r="AC264" s="73">
        <f t="shared" si="197"/>
        <v>-2.3809523809523836E-2</v>
      </c>
      <c r="AD264" s="73">
        <f t="shared" si="197"/>
        <v>-0.12962962962962965</v>
      </c>
      <c r="AE264" s="73">
        <f t="shared" ref="AE264" si="198">AE262/Z262-1</f>
        <v>-1.8181818181818188E-2</v>
      </c>
      <c r="AF264" s="24">
        <v>0.16981132075471694</v>
      </c>
      <c r="AG264" s="73">
        <v>9.0909090909090828E-2</v>
      </c>
      <c r="AH264" s="73">
        <v>0.26829268292682928</v>
      </c>
      <c r="AI264" s="73">
        <v>0.25531914893617014</v>
      </c>
      <c r="AJ264" s="73">
        <v>0</v>
      </c>
      <c r="AK264" s="24">
        <v>0.14516129032258074</v>
      </c>
      <c r="AL264" s="73">
        <v>-2.083333333333337E-2</v>
      </c>
      <c r="AM264" s="73">
        <v>-7.6923076923076872E-2</v>
      </c>
      <c r="AN264" s="73">
        <v>-0.16949152542372881</v>
      </c>
      <c r="AO264" s="73">
        <v>-0.18518518518518523</v>
      </c>
      <c r="AP264" s="24">
        <v>-0.11737089201877937</v>
      </c>
      <c r="AQ264" s="73">
        <v>-8.5106382978723416E-2</v>
      </c>
      <c r="AR264" s="73">
        <v>-8.333333333333337E-2</v>
      </c>
      <c r="AS264" s="73">
        <v>0.12244897959183665</v>
      </c>
      <c r="AT264" s="73">
        <v>0.20454545454545459</v>
      </c>
      <c r="AU264" s="24">
        <v>3.7234042553191404E-2</v>
      </c>
      <c r="AV264" s="73">
        <v>-2.3255813953488413E-2</v>
      </c>
      <c r="AW264" s="73">
        <v>0</v>
      </c>
      <c r="AX264" s="73">
        <v>-1.8181818181818188E-2</v>
      </c>
      <c r="AY264" s="73">
        <v>-9.4339622641509413E-2</v>
      </c>
      <c r="AZ264" s="24">
        <v>-3.5897435897435881E-2</v>
      </c>
      <c r="BA264" s="73">
        <v>-4.7619047619047672E-2</v>
      </c>
      <c r="BB264" s="73">
        <v>0.11363636363636354</v>
      </c>
      <c r="BC264" s="73">
        <v>-0.22222222222222221</v>
      </c>
      <c r="BD264" s="73">
        <v>8.3333333333333259E-2</v>
      </c>
      <c r="BE264" s="24">
        <v>-2.6595744680851019E-2</v>
      </c>
    </row>
    <row r="265" spans="1:57" ht="12.75" customHeight="1">
      <c r="A265" s="69" t="s">
        <v>89</v>
      </c>
      <c r="B265" s="123" t="s">
        <v>44</v>
      </c>
      <c r="C265" s="80" t="s">
        <v>52</v>
      </c>
      <c r="D265" s="80" t="s">
        <v>52</v>
      </c>
      <c r="E265" s="80" t="s">
        <v>52</v>
      </c>
      <c r="F265" s="80" t="s">
        <v>52</v>
      </c>
      <c r="G265" s="123" t="s">
        <v>44</v>
      </c>
      <c r="H265" s="80" t="s">
        <v>52</v>
      </c>
      <c r="I265" s="80" t="s">
        <v>52</v>
      </c>
      <c r="J265" s="80" t="s">
        <v>52</v>
      </c>
      <c r="K265" s="80" t="s">
        <v>52</v>
      </c>
      <c r="L265" s="37">
        <v>80</v>
      </c>
      <c r="M265" s="80" t="s">
        <v>52</v>
      </c>
      <c r="N265" s="80" t="s">
        <v>52</v>
      </c>
      <c r="O265" s="80" t="s">
        <v>52</v>
      </c>
      <c r="P265" s="80" t="s">
        <v>52</v>
      </c>
      <c r="Q265" s="37">
        <v>88</v>
      </c>
      <c r="R265" s="70">
        <v>22</v>
      </c>
      <c r="S265" s="70">
        <v>17</v>
      </c>
      <c r="T265" s="70">
        <v>23</v>
      </c>
      <c r="U265" s="70">
        <f>V265-R265-S265-T265</f>
        <v>27</v>
      </c>
      <c r="V265" s="37">
        <v>89</v>
      </c>
      <c r="W265" s="70">
        <v>24</v>
      </c>
      <c r="X265" s="70">
        <v>27</v>
      </c>
      <c r="Y265" s="70">
        <v>28</v>
      </c>
      <c r="Z265" s="70">
        <f>AA265-W265-X265-Y265</f>
        <v>32</v>
      </c>
      <c r="AA265" s="37">
        <v>111</v>
      </c>
      <c r="AB265" s="70">
        <v>27</v>
      </c>
      <c r="AC265" s="70">
        <v>23</v>
      </c>
      <c r="AD265" s="70">
        <v>22</v>
      </c>
      <c r="AE265" s="70">
        <f>AF265-AB265-AC265-AD265</f>
        <v>18</v>
      </c>
      <c r="AF265" s="37">
        <v>90</v>
      </c>
      <c r="AG265" s="70">
        <v>12</v>
      </c>
      <c r="AH265" s="70">
        <v>10</v>
      </c>
      <c r="AI265" s="70">
        <v>11</v>
      </c>
      <c r="AJ265" s="70">
        <v>16</v>
      </c>
      <c r="AK265" s="37">
        <v>49</v>
      </c>
      <c r="AL265" s="70">
        <v>11</v>
      </c>
      <c r="AM265" s="70">
        <v>11</v>
      </c>
      <c r="AN265" s="70">
        <v>10</v>
      </c>
      <c r="AO265" s="70">
        <v>16</v>
      </c>
      <c r="AP265" s="37">
        <v>48</v>
      </c>
      <c r="AQ265" s="70">
        <v>12</v>
      </c>
      <c r="AR265" s="70">
        <v>12</v>
      </c>
      <c r="AS265" s="70">
        <v>11</v>
      </c>
      <c r="AT265" s="70">
        <v>12</v>
      </c>
      <c r="AU265" s="37">
        <v>47</v>
      </c>
      <c r="AV265" s="70">
        <v>10</v>
      </c>
      <c r="AW265" s="70">
        <v>12</v>
      </c>
      <c r="AX265" s="70">
        <v>12</v>
      </c>
      <c r="AY265" s="70">
        <v>10</v>
      </c>
      <c r="AZ265" s="37">
        <v>44</v>
      </c>
      <c r="BA265" s="70">
        <v>11</v>
      </c>
      <c r="BB265" s="70">
        <v>10</v>
      </c>
      <c r="BC265" s="70">
        <v>9</v>
      </c>
      <c r="BD265" s="70">
        <v>12</v>
      </c>
      <c r="BE265" s="37">
        <v>42</v>
      </c>
    </row>
    <row r="266" spans="1:57" ht="12.75" customHeight="1">
      <c r="A266" s="71" t="s">
        <v>7</v>
      </c>
      <c r="B266" s="24"/>
      <c r="C266" s="72"/>
      <c r="D266" s="72"/>
      <c r="E266" s="72"/>
      <c r="F266" s="72"/>
      <c r="G266" s="24"/>
      <c r="H266" s="72"/>
      <c r="I266" s="72"/>
      <c r="J266" s="72"/>
      <c r="K266" s="72"/>
      <c r="L266" s="24"/>
      <c r="M266" s="72"/>
      <c r="N266" s="72"/>
      <c r="O266" s="72"/>
      <c r="P266" s="72"/>
      <c r="Q266" s="24"/>
      <c r="R266" s="72"/>
      <c r="S266" s="72">
        <f>S265/R265-1</f>
        <v>-0.22727272727272729</v>
      </c>
      <c r="T266" s="72">
        <f>T265/S265-1</f>
        <v>0.35294117647058831</v>
      </c>
      <c r="U266" s="72">
        <f>U265/T265-1</f>
        <v>0.17391304347826098</v>
      </c>
      <c r="V266" s="24"/>
      <c r="W266" s="72">
        <f>W265/U265-1</f>
        <v>-0.11111111111111116</v>
      </c>
      <c r="X266" s="72">
        <f>X265/W265-1</f>
        <v>0.125</v>
      </c>
      <c r="Y266" s="72">
        <f>Y265/X265-1</f>
        <v>3.7037037037036979E-2</v>
      </c>
      <c r="Z266" s="72">
        <f>Z265/Y265-1</f>
        <v>0.14285714285714279</v>
      </c>
      <c r="AA266" s="24"/>
      <c r="AB266" s="72">
        <f>AB265/Z265-1</f>
        <v>-0.15625</v>
      </c>
      <c r="AC266" s="72">
        <f>AC265/AB265-1</f>
        <v>-0.14814814814814814</v>
      </c>
      <c r="AD266" s="72">
        <f>AD265/AC265-1</f>
        <v>-4.3478260869565188E-2</v>
      </c>
      <c r="AE266" s="72">
        <f>AE265/AD265-1</f>
        <v>-0.18181818181818177</v>
      </c>
      <c r="AF266" s="24"/>
      <c r="AG266" s="72">
        <v>-0.33333333333333337</v>
      </c>
      <c r="AH266" s="72">
        <v>-0.16666666666666663</v>
      </c>
      <c r="AI266" s="72">
        <v>0.10000000000000009</v>
      </c>
      <c r="AJ266" s="72">
        <v>0.45454545454545459</v>
      </c>
      <c r="AK266" s="24"/>
      <c r="AL266" s="72">
        <v>-0.3125</v>
      </c>
      <c r="AM266" s="72">
        <v>0</v>
      </c>
      <c r="AN266" s="72">
        <v>-9.0909090909090939E-2</v>
      </c>
      <c r="AO266" s="72">
        <v>0.60000000000000009</v>
      </c>
      <c r="AP266" s="24"/>
      <c r="AQ266" s="72">
        <v>-0.25</v>
      </c>
      <c r="AR266" s="72">
        <v>0</v>
      </c>
      <c r="AS266" s="72">
        <v>-8.333333333333337E-2</v>
      </c>
      <c r="AT266" s="72">
        <v>9.0909090909090828E-2</v>
      </c>
      <c r="AU266" s="24"/>
      <c r="AV266" s="72">
        <v>-0.16666666666666663</v>
      </c>
      <c r="AW266" s="72">
        <v>0.19999999999999996</v>
      </c>
      <c r="AX266" s="72">
        <v>0</v>
      </c>
      <c r="AY266" s="72">
        <v>-0.16666666666666663</v>
      </c>
      <c r="AZ266" s="24"/>
      <c r="BA266" s="72">
        <v>0.10000000000000009</v>
      </c>
      <c r="BB266" s="72">
        <v>-9.0909090909090939E-2</v>
      </c>
      <c r="BC266" s="72">
        <v>-9.9999999999999978E-2</v>
      </c>
      <c r="BD266" s="72">
        <v>0.33333333333333326</v>
      </c>
      <c r="BE266" s="24"/>
    </row>
    <row r="267" spans="1:57" ht="12.75" customHeight="1">
      <c r="A267" s="71" t="s">
        <v>8</v>
      </c>
      <c r="B267" s="24"/>
      <c r="C267" s="73"/>
      <c r="D267" s="73"/>
      <c r="E267" s="73"/>
      <c r="F267" s="73"/>
      <c r="G267" s="24"/>
      <c r="H267" s="73"/>
      <c r="I267" s="73"/>
      <c r="J267" s="73"/>
      <c r="K267" s="73"/>
      <c r="L267" s="24"/>
      <c r="M267" s="73"/>
      <c r="N267" s="73"/>
      <c r="O267" s="73"/>
      <c r="P267" s="73"/>
      <c r="Q267" s="24">
        <f>Q265/L265-1</f>
        <v>0.10000000000000009</v>
      </c>
      <c r="R267" s="73"/>
      <c r="S267" s="73"/>
      <c r="T267" s="73"/>
      <c r="U267" s="73"/>
      <c r="V267" s="24">
        <f t="shared" ref="V267:AD267" si="199">V265/Q265-1</f>
        <v>1.1363636363636465E-2</v>
      </c>
      <c r="W267" s="73">
        <f t="shared" si="199"/>
        <v>9.0909090909090828E-2</v>
      </c>
      <c r="X267" s="73">
        <f t="shared" si="199"/>
        <v>0.58823529411764697</v>
      </c>
      <c r="Y267" s="73">
        <f t="shared" si="199"/>
        <v>0.21739130434782616</v>
      </c>
      <c r="Z267" s="73">
        <f t="shared" si="199"/>
        <v>0.18518518518518512</v>
      </c>
      <c r="AA267" s="24">
        <f t="shared" si="199"/>
        <v>0.24719101123595499</v>
      </c>
      <c r="AB267" s="73">
        <f t="shared" si="199"/>
        <v>0.125</v>
      </c>
      <c r="AC267" s="73">
        <f t="shared" si="199"/>
        <v>-0.14814814814814814</v>
      </c>
      <c r="AD267" s="73">
        <f t="shared" si="199"/>
        <v>-0.2142857142857143</v>
      </c>
      <c r="AE267" s="73">
        <f t="shared" ref="AE267" si="200">AE265/Z265-1</f>
        <v>-0.4375</v>
      </c>
      <c r="AF267" s="24">
        <v>-0.18918918918918914</v>
      </c>
      <c r="AG267" s="73">
        <v>-0.55555555555555558</v>
      </c>
      <c r="AH267" s="73">
        <v>-0.56521739130434789</v>
      </c>
      <c r="AI267" s="73">
        <v>-0.5</v>
      </c>
      <c r="AJ267" s="73">
        <v>-0.11111111111111116</v>
      </c>
      <c r="AK267" s="24">
        <v>-0.4555555555555556</v>
      </c>
      <c r="AL267" s="73">
        <v>-8.333333333333337E-2</v>
      </c>
      <c r="AM267" s="73">
        <v>0.10000000000000009</v>
      </c>
      <c r="AN267" s="73">
        <v>-9.0909090909090939E-2</v>
      </c>
      <c r="AO267" s="73">
        <v>0</v>
      </c>
      <c r="AP267" s="24">
        <v>-2.0408163265306145E-2</v>
      </c>
      <c r="AQ267" s="73">
        <v>9.0909090909090828E-2</v>
      </c>
      <c r="AR267" s="73">
        <v>9.0909090909090828E-2</v>
      </c>
      <c r="AS267" s="73">
        <v>0.10000000000000009</v>
      </c>
      <c r="AT267" s="73">
        <v>-0.25</v>
      </c>
      <c r="AU267" s="24">
        <v>-2.083333333333337E-2</v>
      </c>
      <c r="AV267" s="73">
        <v>-0.16666666666666663</v>
      </c>
      <c r="AW267" s="73">
        <v>0</v>
      </c>
      <c r="AX267" s="73">
        <v>9.0909090909090828E-2</v>
      </c>
      <c r="AY267" s="73">
        <v>-0.16666666666666663</v>
      </c>
      <c r="AZ267" s="24">
        <v>-6.3829787234042534E-2</v>
      </c>
      <c r="BA267" s="73">
        <v>0.10000000000000009</v>
      </c>
      <c r="BB267" s="73">
        <v>-0.16666666666666663</v>
      </c>
      <c r="BC267" s="73">
        <v>-0.25</v>
      </c>
      <c r="BD267" s="73">
        <v>0.19999999999999996</v>
      </c>
      <c r="BE267" s="24">
        <v>-4.5454545454545414E-2</v>
      </c>
    </row>
    <row r="268" spans="1:57" ht="12.75" customHeight="1">
      <c r="A268" s="69" t="s">
        <v>91</v>
      </c>
      <c r="B268" s="123" t="s">
        <v>44</v>
      </c>
      <c r="C268" s="80" t="s">
        <v>52</v>
      </c>
      <c r="D268" s="80" t="s">
        <v>52</v>
      </c>
      <c r="E268" s="80" t="s">
        <v>52</v>
      </c>
      <c r="F268" s="80" t="s">
        <v>52</v>
      </c>
      <c r="G268" s="123" t="s">
        <v>44</v>
      </c>
      <c r="H268" s="80" t="s">
        <v>52</v>
      </c>
      <c r="I268" s="80" t="s">
        <v>52</v>
      </c>
      <c r="J268" s="80" t="s">
        <v>52</v>
      </c>
      <c r="K268" s="80" t="s">
        <v>52</v>
      </c>
      <c r="L268" s="37">
        <v>96</v>
      </c>
      <c r="M268" s="80" t="s">
        <v>52</v>
      </c>
      <c r="N268" s="80" t="s">
        <v>52</v>
      </c>
      <c r="O268" s="80" t="s">
        <v>52</v>
      </c>
      <c r="P268" s="80" t="s">
        <v>52</v>
      </c>
      <c r="Q268" s="37">
        <v>76</v>
      </c>
      <c r="R268" s="70">
        <v>20</v>
      </c>
      <c r="S268" s="70">
        <v>18</v>
      </c>
      <c r="T268" s="70">
        <v>17</v>
      </c>
      <c r="U268" s="70">
        <f>V268-R268-S268-T268</f>
        <v>21</v>
      </c>
      <c r="V268" s="37">
        <v>76</v>
      </c>
      <c r="W268" s="70">
        <v>20</v>
      </c>
      <c r="X268" s="70">
        <v>19</v>
      </c>
      <c r="Y268" s="70">
        <v>15</v>
      </c>
      <c r="Z268" s="70">
        <f>AA268-W268-X268-Y268</f>
        <v>19</v>
      </c>
      <c r="AA268" s="37">
        <v>73</v>
      </c>
      <c r="AB268" s="70">
        <v>16</v>
      </c>
      <c r="AC268" s="70">
        <v>16</v>
      </c>
      <c r="AD268" s="70">
        <v>15</v>
      </c>
      <c r="AE268" s="147">
        <f>AF268-AB268-AC268-AD268</f>
        <v>17</v>
      </c>
      <c r="AF268" s="37">
        <v>64</v>
      </c>
      <c r="AG268" s="70">
        <v>16</v>
      </c>
      <c r="AH268" s="70">
        <v>15</v>
      </c>
      <c r="AI268" s="70">
        <v>14</v>
      </c>
      <c r="AJ268" s="147">
        <v>16</v>
      </c>
      <c r="AK268" s="37">
        <v>61</v>
      </c>
      <c r="AL268" s="70">
        <v>16</v>
      </c>
      <c r="AM268" s="70">
        <v>14</v>
      </c>
      <c r="AN268" s="70">
        <v>17</v>
      </c>
      <c r="AO268" s="147">
        <v>13</v>
      </c>
      <c r="AP268" s="37">
        <v>60</v>
      </c>
      <c r="AQ268" s="70">
        <v>17</v>
      </c>
      <c r="AR268" s="70">
        <v>17</v>
      </c>
      <c r="AS268" s="70">
        <v>16</v>
      </c>
      <c r="AT268" s="147">
        <v>22</v>
      </c>
      <c r="AU268" s="37">
        <v>72</v>
      </c>
      <c r="AV268" s="70">
        <v>17</v>
      </c>
      <c r="AW268" s="70">
        <v>19</v>
      </c>
      <c r="AX268" s="70">
        <v>19</v>
      </c>
      <c r="AY268" s="147">
        <v>18</v>
      </c>
      <c r="AZ268" s="37">
        <v>73</v>
      </c>
      <c r="BA268" s="70">
        <v>20</v>
      </c>
      <c r="BB268" s="70">
        <v>20</v>
      </c>
      <c r="BC268" s="70">
        <v>20</v>
      </c>
      <c r="BD268" s="147">
        <v>23</v>
      </c>
      <c r="BE268" s="37">
        <v>83</v>
      </c>
    </row>
    <row r="269" spans="1:57" ht="12.75" customHeight="1">
      <c r="A269" s="71" t="s">
        <v>7</v>
      </c>
      <c r="B269" s="24"/>
      <c r="C269" s="72"/>
      <c r="D269" s="72"/>
      <c r="E269" s="72"/>
      <c r="F269" s="72"/>
      <c r="G269" s="24"/>
      <c r="H269" s="72"/>
      <c r="I269" s="72"/>
      <c r="J269" s="72"/>
      <c r="K269" s="72"/>
      <c r="L269" s="24"/>
      <c r="M269" s="72"/>
      <c r="N269" s="72"/>
      <c r="O269" s="72"/>
      <c r="P269" s="72"/>
      <c r="Q269" s="24"/>
      <c r="R269" s="72"/>
      <c r="S269" s="72">
        <f>S268/R268-1</f>
        <v>-9.9999999999999978E-2</v>
      </c>
      <c r="T269" s="72">
        <f>T268/S268-1</f>
        <v>-5.555555555555558E-2</v>
      </c>
      <c r="U269" s="72">
        <f>U268/T268-1</f>
        <v>0.23529411764705888</v>
      </c>
      <c r="V269" s="24"/>
      <c r="W269" s="72">
        <f>W268/U268-1</f>
        <v>-4.7619047619047672E-2</v>
      </c>
      <c r="X269" s="72">
        <f>X268/W268-1</f>
        <v>-5.0000000000000044E-2</v>
      </c>
      <c r="Y269" s="72">
        <f>Y268/X268-1</f>
        <v>-0.21052631578947367</v>
      </c>
      <c r="Z269" s="72">
        <f>Z268/Y268-1</f>
        <v>0.26666666666666661</v>
      </c>
      <c r="AA269" s="24"/>
      <c r="AB269" s="72">
        <f>AB268/Z268-1</f>
        <v>-0.15789473684210531</v>
      </c>
      <c r="AC269" s="72">
        <f>AC268/AB268-1</f>
        <v>0</v>
      </c>
      <c r="AD269" s="72">
        <f>AD268/AC268-1</f>
        <v>-6.25E-2</v>
      </c>
      <c r="AE269" s="72">
        <f>AE268/AD268-1</f>
        <v>0.1333333333333333</v>
      </c>
      <c r="AF269" s="24"/>
      <c r="AG269" s="72">
        <v>-5.8823529411764719E-2</v>
      </c>
      <c r="AH269" s="72">
        <v>-6.25E-2</v>
      </c>
      <c r="AI269" s="72">
        <v>-6.6666666666666652E-2</v>
      </c>
      <c r="AJ269" s="72">
        <v>0.14285714285714279</v>
      </c>
      <c r="AK269" s="24"/>
      <c r="AL269" s="72">
        <v>0</v>
      </c>
      <c r="AM269" s="72">
        <v>-0.125</v>
      </c>
      <c r="AN269" s="72">
        <v>0.21428571428571419</v>
      </c>
      <c r="AO269" s="72">
        <v>-0.23529411764705888</v>
      </c>
      <c r="AP269" s="24"/>
      <c r="AQ269" s="72">
        <v>0.30769230769230771</v>
      </c>
      <c r="AR269" s="72">
        <v>0</v>
      </c>
      <c r="AS269" s="72">
        <v>-5.8823529411764719E-2</v>
      </c>
      <c r="AT269" s="72">
        <v>0.375</v>
      </c>
      <c r="AU269" s="24"/>
      <c r="AV269" s="72">
        <v>-0.22727272727272729</v>
      </c>
      <c r="AW269" s="72">
        <v>0.11764705882352944</v>
      </c>
      <c r="AX269" s="72">
        <v>0</v>
      </c>
      <c r="AY269" s="72">
        <v>-5.2631578947368474E-2</v>
      </c>
      <c r="AZ269" s="24"/>
      <c r="BA269" s="72">
        <v>0.11111111111111116</v>
      </c>
      <c r="BB269" s="72">
        <v>0</v>
      </c>
      <c r="BC269" s="72">
        <v>0</v>
      </c>
      <c r="BD269" s="72">
        <v>0.14999999999999991</v>
      </c>
      <c r="BE269" s="24"/>
    </row>
    <row r="270" spans="1:57" ht="12.75" customHeight="1">
      <c r="A270" s="71" t="s">
        <v>8</v>
      </c>
      <c r="B270" s="24"/>
      <c r="C270" s="73"/>
      <c r="D270" s="73"/>
      <c r="E270" s="73"/>
      <c r="F270" s="73"/>
      <c r="G270" s="24"/>
      <c r="H270" s="73"/>
      <c r="I270" s="73"/>
      <c r="J270" s="73"/>
      <c r="K270" s="73"/>
      <c r="L270" s="24"/>
      <c r="M270" s="73"/>
      <c r="N270" s="73"/>
      <c r="O270" s="73"/>
      <c r="P270" s="73"/>
      <c r="Q270" s="24">
        <f>Q268/L268-1</f>
        <v>-0.20833333333333337</v>
      </c>
      <c r="R270" s="73"/>
      <c r="S270" s="73"/>
      <c r="T270" s="73"/>
      <c r="U270" s="73"/>
      <c r="V270" s="24">
        <f t="shared" ref="V270:AD270" si="201">V268/Q268-1</f>
        <v>0</v>
      </c>
      <c r="W270" s="73">
        <f t="shared" si="201"/>
        <v>0</v>
      </c>
      <c r="X270" s="73">
        <f t="shared" si="201"/>
        <v>5.555555555555558E-2</v>
      </c>
      <c r="Y270" s="73">
        <f t="shared" si="201"/>
        <v>-0.11764705882352944</v>
      </c>
      <c r="Z270" s="73">
        <f t="shared" si="201"/>
        <v>-9.5238095238095233E-2</v>
      </c>
      <c r="AA270" s="24">
        <f t="shared" si="201"/>
        <v>-3.9473684210526327E-2</v>
      </c>
      <c r="AB270" s="73">
        <f t="shared" si="201"/>
        <v>-0.19999999999999996</v>
      </c>
      <c r="AC270" s="73">
        <f t="shared" si="201"/>
        <v>-0.15789473684210531</v>
      </c>
      <c r="AD270" s="73">
        <f t="shared" si="201"/>
        <v>0</v>
      </c>
      <c r="AE270" s="73">
        <f t="shared" ref="AE270" si="202">AE268/Z268-1</f>
        <v>-0.10526315789473684</v>
      </c>
      <c r="AF270" s="24">
        <v>-0.12328767123287676</v>
      </c>
      <c r="AG270" s="73">
        <v>0</v>
      </c>
      <c r="AH270" s="73">
        <v>-6.25E-2</v>
      </c>
      <c r="AI270" s="73">
        <v>-6.6666666666666652E-2</v>
      </c>
      <c r="AJ270" s="73">
        <v>-5.8823529411764719E-2</v>
      </c>
      <c r="AK270" s="24">
        <v>-4.6875E-2</v>
      </c>
      <c r="AL270" s="73">
        <v>0</v>
      </c>
      <c r="AM270" s="73">
        <v>-6.6666666666666652E-2</v>
      </c>
      <c r="AN270" s="73">
        <v>0.21428571428571419</v>
      </c>
      <c r="AO270" s="73">
        <v>-0.1875</v>
      </c>
      <c r="AP270" s="24">
        <v>-1.6393442622950838E-2</v>
      </c>
      <c r="AQ270" s="73">
        <v>6.25E-2</v>
      </c>
      <c r="AR270" s="73">
        <v>0.21428571428571419</v>
      </c>
      <c r="AS270" s="73">
        <v>-5.8823529411764719E-2</v>
      </c>
      <c r="AT270" s="73">
        <v>0.69230769230769229</v>
      </c>
      <c r="AU270" s="24">
        <v>0.19999999999999996</v>
      </c>
      <c r="AV270" s="73">
        <v>0</v>
      </c>
      <c r="AW270" s="73">
        <v>0.11764705882352944</v>
      </c>
      <c r="AX270" s="73">
        <v>0.1875</v>
      </c>
      <c r="AY270" s="73">
        <v>-0.18181818181818177</v>
      </c>
      <c r="AZ270" s="24">
        <v>1.388888888888884E-2</v>
      </c>
      <c r="BA270" s="73">
        <v>0.17647058823529416</v>
      </c>
      <c r="BB270" s="73">
        <v>5.2631578947368363E-2</v>
      </c>
      <c r="BC270" s="73">
        <v>5.2631578947368363E-2</v>
      </c>
      <c r="BD270" s="73">
        <v>0.27777777777777768</v>
      </c>
      <c r="BE270" s="24">
        <v>0.13698630136986312</v>
      </c>
    </row>
    <row r="271" spans="1:57" ht="12.75" customHeight="1">
      <c r="A271" s="69" t="s">
        <v>92</v>
      </c>
      <c r="B271" s="123" t="s">
        <v>44</v>
      </c>
      <c r="C271" s="80" t="s">
        <v>52</v>
      </c>
      <c r="D271" s="80" t="s">
        <v>52</v>
      </c>
      <c r="E271" s="80" t="s">
        <v>52</v>
      </c>
      <c r="F271" s="80" t="s">
        <v>52</v>
      </c>
      <c r="G271" s="123" t="s">
        <v>44</v>
      </c>
      <c r="H271" s="80" t="s">
        <v>52</v>
      </c>
      <c r="I271" s="80" t="s">
        <v>52</v>
      </c>
      <c r="J271" s="80" t="s">
        <v>52</v>
      </c>
      <c r="K271" s="80" t="s">
        <v>52</v>
      </c>
      <c r="L271" s="37">
        <v>96</v>
      </c>
      <c r="M271" s="80" t="s">
        <v>52</v>
      </c>
      <c r="N271" s="80" t="s">
        <v>52</v>
      </c>
      <c r="O271" s="80" t="s">
        <v>52</v>
      </c>
      <c r="P271" s="80" t="s">
        <v>52</v>
      </c>
      <c r="Q271" s="37">
        <v>101</v>
      </c>
      <c r="R271" s="70">
        <v>21</v>
      </c>
      <c r="S271" s="70">
        <v>20</v>
      </c>
      <c r="T271" s="70">
        <v>22</v>
      </c>
      <c r="U271" s="70">
        <f>V271-R271-S271-T271</f>
        <v>15</v>
      </c>
      <c r="V271" s="37">
        <v>78</v>
      </c>
      <c r="W271" s="70">
        <v>19</v>
      </c>
      <c r="X271" s="70">
        <v>18</v>
      </c>
      <c r="Y271" s="70">
        <v>25</v>
      </c>
      <c r="Z271" s="70">
        <f>AA271-W271-X271-Y271</f>
        <v>21</v>
      </c>
      <c r="AA271" s="37">
        <v>83</v>
      </c>
      <c r="AB271" s="70">
        <v>20</v>
      </c>
      <c r="AC271" s="70">
        <v>19</v>
      </c>
      <c r="AD271" s="70">
        <v>18</v>
      </c>
      <c r="AE271" s="70">
        <f>AF271-AB271-AC271-AD271</f>
        <v>19</v>
      </c>
      <c r="AF271" s="37">
        <v>76</v>
      </c>
      <c r="AG271" s="70">
        <v>17</v>
      </c>
      <c r="AH271" s="70">
        <v>19</v>
      </c>
      <c r="AI271" s="70">
        <v>20</v>
      </c>
      <c r="AJ271" s="70">
        <v>20</v>
      </c>
      <c r="AK271" s="37">
        <v>76</v>
      </c>
      <c r="AL271" s="70">
        <v>17</v>
      </c>
      <c r="AM271" s="70">
        <v>19</v>
      </c>
      <c r="AN271" s="70">
        <v>21</v>
      </c>
      <c r="AO271" s="70">
        <v>21</v>
      </c>
      <c r="AP271" s="37">
        <v>78</v>
      </c>
      <c r="AQ271" s="70">
        <v>17</v>
      </c>
      <c r="AR271" s="70">
        <v>18</v>
      </c>
      <c r="AS271" s="70">
        <v>18</v>
      </c>
      <c r="AT271" s="70">
        <v>19</v>
      </c>
      <c r="AU271" s="37">
        <v>72</v>
      </c>
      <c r="AV271" s="70">
        <v>18</v>
      </c>
      <c r="AW271" s="70">
        <v>17</v>
      </c>
      <c r="AX271" s="70">
        <v>18</v>
      </c>
      <c r="AY271" s="70">
        <v>16</v>
      </c>
      <c r="AZ271" s="37">
        <v>69</v>
      </c>
      <c r="BA271" s="70">
        <v>7</v>
      </c>
      <c r="BB271" s="70">
        <v>8</v>
      </c>
      <c r="BC271" s="70">
        <v>9</v>
      </c>
      <c r="BD271" s="70">
        <v>13</v>
      </c>
      <c r="BE271" s="37">
        <v>37</v>
      </c>
    </row>
    <row r="272" spans="1:57" ht="12.75" customHeight="1">
      <c r="A272" s="71" t="s">
        <v>7</v>
      </c>
      <c r="B272" s="24"/>
      <c r="C272" s="72"/>
      <c r="D272" s="72"/>
      <c r="E272" s="72"/>
      <c r="F272" s="72"/>
      <c r="G272" s="24"/>
      <c r="H272" s="72"/>
      <c r="I272" s="72"/>
      <c r="J272" s="72"/>
      <c r="K272" s="72"/>
      <c r="L272" s="24"/>
      <c r="M272" s="72"/>
      <c r="N272" s="72"/>
      <c r="O272" s="72"/>
      <c r="P272" s="72"/>
      <c r="Q272" s="24"/>
      <c r="R272" s="72"/>
      <c r="S272" s="72">
        <f>S271/R271-1</f>
        <v>-4.7619047619047672E-2</v>
      </c>
      <c r="T272" s="72">
        <f>T271/S271-1</f>
        <v>0.10000000000000009</v>
      </c>
      <c r="U272" s="72">
        <f>U271/T271-1</f>
        <v>-0.31818181818181823</v>
      </c>
      <c r="V272" s="24"/>
      <c r="W272" s="72">
        <f>W271/U271-1</f>
        <v>0.26666666666666661</v>
      </c>
      <c r="X272" s="72">
        <f>X271/W271-1</f>
        <v>-5.2631578947368474E-2</v>
      </c>
      <c r="Y272" s="72">
        <f>Y271/X271-1</f>
        <v>0.38888888888888884</v>
      </c>
      <c r="Z272" s="72">
        <f>Z271/Y271-1</f>
        <v>-0.16000000000000003</v>
      </c>
      <c r="AA272" s="24"/>
      <c r="AB272" s="72">
        <f>AB271/Z271-1</f>
        <v>-4.7619047619047672E-2</v>
      </c>
      <c r="AC272" s="72">
        <f>AC271/AB271-1</f>
        <v>-5.0000000000000044E-2</v>
      </c>
      <c r="AD272" s="72">
        <f>AD271/AC271-1</f>
        <v>-5.2631578947368474E-2</v>
      </c>
      <c r="AE272" s="72">
        <f>AE271/AD271-1</f>
        <v>5.555555555555558E-2</v>
      </c>
      <c r="AF272" s="24"/>
      <c r="AG272" s="72">
        <v>-0.10526315789473684</v>
      </c>
      <c r="AH272" s="72">
        <v>0.11764705882352944</v>
      </c>
      <c r="AI272" s="72">
        <v>5.2631578947368363E-2</v>
      </c>
      <c r="AJ272" s="72">
        <v>0</v>
      </c>
      <c r="AK272" s="24"/>
      <c r="AL272" s="72">
        <v>-0.15000000000000002</v>
      </c>
      <c r="AM272" s="72">
        <v>0.11764705882352944</v>
      </c>
      <c r="AN272" s="72">
        <v>0.10526315789473695</v>
      </c>
      <c r="AO272" s="72">
        <v>0</v>
      </c>
      <c r="AP272" s="24"/>
      <c r="AQ272" s="72">
        <v>-0.19047619047619047</v>
      </c>
      <c r="AR272" s="72">
        <v>5.8823529411764719E-2</v>
      </c>
      <c r="AS272" s="72">
        <v>0</v>
      </c>
      <c r="AT272" s="72">
        <v>5.555555555555558E-2</v>
      </c>
      <c r="AU272" s="24"/>
      <c r="AV272" s="72">
        <v>-5.2631578947368474E-2</v>
      </c>
      <c r="AW272" s="72">
        <v>-5.555555555555558E-2</v>
      </c>
      <c r="AX272" s="72">
        <v>5.8823529411764719E-2</v>
      </c>
      <c r="AY272" s="72">
        <v>-0.11111111111111116</v>
      </c>
      <c r="AZ272" s="24"/>
      <c r="BA272" s="72">
        <v>-0.5625</v>
      </c>
      <c r="BB272" s="72">
        <v>0.14285714285714279</v>
      </c>
      <c r="BC272" s="72">
        <v>0.125</v>
      </c>
      <c r="BD272" s="72">
        <v>0.44444444444444442</v>
      </c>
      <c r="BE272" s="24"/>
    </row>
    <row r="273" spans="1:57" ht="12.75" customHeight="1">
      <c r="A273" s="71" t="s">
        <v>8</v>
      </c>
      <c r="B273" s="24"/>
      <c r="C273" s="73"/>
      <c r="D273" s="73"/>
      <c r="E273" s="73"/>
      <c r="F273" s="73"/>
      <c r="G273" s="24"/>
      <c r="H273" s="73"/>
      <c r="I273" s="73"/>
      <c r="J273" s="73"/>
      <c r="K273" s="73"/>
      <c r="L273" s="24"/>
      <c r="M273" s="73"/>
      <c r="N273" s="73"/>
      <c r="O273" s="73"/>
      <c r="P273" s="73"/>
      <c r="Q273" s="24">
        <f>Q271/L271-1</f>
        <v>5.2083333333333259E-2</v>
      </c>
      <c r="R273" s="73"/>
      <c r="S273" s="73"/>
      <c r="T273" s="73"/>
      <c r="U273" s="73"/>
      <c r="V273" s="24">
        <f t="shared" ref="V273:AE273" si="203">V271/Q271-1</f>
        <v>-0.2277227722772277</v>
      </c>
      <c r="W273" s="73">
        <f t="shared" si="203"/>
        <v>-9.5238095238095233E-2</v>
      </c>
      <c r="X273" s="73">
        <f t="shared" si="203"/>
        <v>-9.9999999999999978E-2</v>
      </c>
      <c r="Y273" s="73">
        <f t="shared" si="203"/>
        <v>0.13636363636363646</v>
      </c>
      <c r="Z273" s="73">
        <f t="shared" si="203"/>
        <v>0.39999999999999991</v>
      </c>
      <c r="AA273" s="24">
        <f t="shared" si="203"/>
        <v>6.4102564102564097E-2</v>
      </c>
      <c r="AB273" s="73">
        <f t="shared" si="203"/>
        <v>5.2631578947368363E-2</v>
      </c>
      <c r="AC273" s="73">
        <f t="shared" si="203"/>
        <v>5.555555555555558E-2</v>
      </c>
      <c r="AD273" s="73">
        <f t="shared" si="203"/>
        <v>-0.28000000000000003</v>
      </c>
      <c r="AE273" s="73">
        <f t="shared" si="203"/>
        <v>-9.5238095238095233E-2</v>
      </c>
      <c r="AF273" s="24">
        <v>-8.4337349397590411E-2</v>
      </c>
      <c r="AG273" s="73">
        <v>-0.15000000000000002</v>
      </c>
      <c r="AH273" s="73">
        <v>0</v>
      </c>
      <c r="AI273" s="73">
        <v>0.11111111111111116</v>
      </c>
      <c r="AJ273" s="73">
        <v>5.2631578947368363E-2</v>
      </c>
      <c r="AK273" s="24">
        <v>0</v>
      </c>
      <c r="AL273" s="73">
        <v>0</v>
      </c>
      <c r="AM273" s="73">
        <v>0</v>
      </c>
      <c r="AN273" s="73">
        <v>5.0000000000000044E-2</v>
      </c>
      <c r="AO273" s="73">
        <v>5.0000000000000044E-2</v>
      </c>
      <c r="AP273" s="24">
        <v>2.6315789473684292E-2</v>
      </c>
      <c r="AQ273" s="73">
        <v>0</v>
      </c>
      <c r="AR273" s="73">
        <v>-5.2631578947368474E-2</v>
      </c>
      <c r="AS273" s="73">
        <v>-0.1428571428571429</v>
      </c>
      <c r="AT273" s="73">
        <v>-9.5238095238095233E-2</v>
      </c>
      <c r="AU273" s="24">
        <v>-7.6923076923076872E-2</v>
      </c>
      <c r="AV273" s="73">
        <v>5.8823529411764719E-2</v>
      </c>
      <c r="AW273" s="73">
        <v>-5.555555555555558E-2</v>
      </c>
      <c r="AX273" s="73">
        <v>0</v>
      </c>
      <c r="AY273" s="73">
        <v>-0.15789473684210531</v>
      </c>
      <c r="AZ273" s="24">
        <v>-4.166666666666663E-2</v>
      </c>
      <c r="BA273" s="73">
        <v>-0.61111111111111116</v>
      </c>
      <c r="BB273" s="73">
        <v>-0.52941176470588236</v>
      </c>
      <c r="BC273" s="73">
        <v>-0.5</v>
      </c>
      <c r="BD273" s="73">
        <v>-0.1875</v>
      </c>
      <c r="BE273" s="24">
        <v>-0.46376811594202894</v>
      </c>
    </row>
    <row r="274" spans="1:57" ht="12.75" hidden="1" customHeight="1">
      <c r="A274" s="69" t="s">
        <v>144</v>
      </c>
      <c r="B274" s="123" t="s">
        <v>44</v>
      </c>
      <c r="C274" s="80" t="s">
        <v>52</v>
      </c>
      <c r="D274" s="80" t="s">
        <v>52</v>
      </c>
      <c r="E274" s="80" t="s">
        <v>52</v>
      </c>
      <c r="F274" s="80" t="s">
        <v>52</v>
      </c>
      <c r="G274" s="123" t="s">
        <v>44</v>
      </c>
      <c r="H274" s="80" t="s">
        <v>52</v>
      </c>
      <c r="I274" s="80" t="s">
        <v>52</v>
      </c>
      <c r="J274" s="80" t="s">
        <v>52</v>
      </c>
      <c r="K274" s="80" t="s">
        <v>52</v>
      </c>
      <c r="L274" s="37">
        <v>51</v>
      </c>
      <c r="M274" s="80" t="s">
        <v>52</v>
      </c>
      <c r="N274" s="80" t="s">
        <v>52</v>
      </c>
      <c r="O274" s="80" t="s">
        <v>52</v>
      </c>
      <c r="P274" s="80" t="s">
        <v>52</v>
      </c>
      <c r="Q274" s="37">
        <v>53</v>
      </c>
      <c r="R274" s="70">
        <v>20</v>
      </c>
      <c r="S274" s="70">
        <v>18</v>
      </c>
      <c r="T274" s="70">
        <v>20</v>
      </c>
      <c r="U274" s="70">
        <f>V274-R274-S274-T274</f>
        <v>18</v>
      </c>
      <c r="V274" s="37">
        <v>76</v>
      </c>
      <c r="W274" s="70">
        <v>28</v>
      </c>
      <c r="X274" s="70">
        <v>26</v>
      </c>
      <c r="Y274" s="70">
        <v>16</v>
      </c>
      <c r="Z274" s="70">
        <f>AA274-W274-X274-Y274</f>
        <v>11</v>
      </c>
      <c r="AA274" s="37">
        <v>81</v>
      </c>
      <c r="AB274" s="70">
        <v>7</v>
      </c>
      <c r="AC274" s="70">
        <v>6</v>
      </c>
      <c r="AD274" s="70">
        <v>6</v>
      </c>
      <c r="AE274" s="70">
        <f>AF274-AB274-AC274-AD274</f>
        <v>7</v>
      </c>
      <c r="AF274" s="37">
        <v>26</v>
      </c>
      <c r="AG274" s="70">
        <v>0</v>
      </c>
      <c r="AH274" s="76">
        <v>0</v>
      </c>
      <c r="AI274" s="76">
        <v>0</v>
      </c>
      <c r="AJ274" s="76">
        <v>0</v>
      </c>
      <c r="AK274" s="63">
        <v>0</v>
      </c>
      <c r="AL274" s="76">
        <v>0</v>
      </c>
      <c r="AM274" s="76">
        <v>0</v>
      </c>
      <c r="AN274" s="76">
        <v>0</v>
      </c>
      <c r="AO274" s="76">
        <v>0</v>
      </c>
      <c r="AP274" s="63">
        <v>0</v>
      </c>
      <c r="AQ274" s="76">
        <v>0</v>
      </c>
      <c r="AR274" s="76">
        <v>0</v>
      </c>
      <c r="AS274" s="76">
        <v>0</v>
      </c>
      <c r="AT274" s="76">
        <v>0</v>
      </c>
      <c r="AU274" s="63">
        <v>0</v>
      </c>
      <c r="AV274" s="76">
        <v>0</v>
      </c>
      <c r="AW274" s="76">
        <v>0</v>
      </c>
      <c r="AX274" s="76">
        <v>0</v>
      </c>
      <c r="AY274" s="76">
        <v>0</v>
      </c>
      <c r="AZ274" s="63">
        <v>0</v>
      </c>
      <c r="BA274" s="76">
        <v>0</v>
      </c>
      <c r="BB274" s="76">
        <v>0</v>
      </c>
      <c r="BC274" s="76">
        <v>0</v>
      </c>
      <c r="BD274" s="76">
        <v>0</v>
      </c>
      <c r="BE274" s="63">
        <v>0</v>
      </c>
    </row>
    <row r="275" spans="1:57" ht="12.75" hidden="1" customHeight="1">
      <c r="A275" s="71" t="s">
        <v>7</v>
      </c>
      <c r="B275" s="24"/>
      <c r="C275" s="72"/>
      <c r="D275" s="72"/>
      <c r="E275" s="72"/>
      <c r="F275" s="72"/>
      <c r="G275" s="24"/>
      <c r="H275" s="72"/>
      <c r="I275" s="72"/>
      <c r="J275" s="72"/>
      <c r="K275" s="72"/>
      <c r="L275" s="24"/>
      <c r="M275" s="72"/>
      <c r="N275" s="72"/>
      <c r="O275" s="72"/>
      <c r="P275" s="72"/>
      <c r="Q275" s="24"/>
      <c r="R275" s="72"/>
      <c r="S275" s="72">
        <f>S274/R274-1</f>
        <v>-9.9999999999999978E-2</v>
      </c>
      <c r="T275" s="72">
        <f>T274/S274-1</f>
        <v>0.11111111111111116</v>
      </c>
      <c r="U275" s="72">
        <f>U274/T274-1</f>
        <v>-9.9999999999999978E-2</v>
      </c>
      <c r="V275" s="24"/>
      <c r="W275" s="72">
        <f>W274/U274-1</f>
        <v>0.55555555555555558</v>
      </c>
      <c r="X275" s="72">
        <f>X274/W274-1</f>
        <v>-7.1428571428571397E-2</v>
      </c>
      <c r="Y275" s="72">
        <f>Y274/X274-1</f>
        <v>-0.38461538461538458</v>
      </c>
      <c r="Z275" s="72">
        <f>Z274/Y274-1</f>
        <v>-0.3125</v>
      </c>
      <c r="AA275" s="24"/>
      <c r="AB275" s="72">
        <f>AB274/Z274-1</f>
        <v>-0.36363636363636365</v>
      </c>
      <c r="AC275" s="72">
        <f>AC274/AB274-1</f>
        <v>-0.1428571428571429</v>
      </c>
      <c r="AD275" s="72">
        <f>AD274/AC274-1</f>
        <v>0</v>
      </c>
      <c r="AE275" s="72">
        <f>AE274/AD274-1</f>
        <v>0.16666666666666674</v>
      </c>
      <c r="AF275" s="24"/>
      <c r="AG275" s="85" t="s">
        <v>43</v>
      </c>
      <c r="AH275" s="85" t="s">
        <v>43</v>
      </c>
      <c r="AI275" s="85" t="s">
        <v>43</v>
      </c>
      <c r="AJ275" s="85" t="s">
        <v>43</v>
      </c>
      <c r="AK275" s="24"/>
      <c r="AL275" s="85" t="s">
        <v>43</v>
      </c>
      <c r="AM275" s="85" t="s">
        <v>43</v>
      </c>
      <c r="AN275" s="85" t="s">
        <v>43</v>
      </c>
      <c r="AO275" s="85" t="s">
        <v>43</v>
      </c>
      <c r="AP275" s="24"/>
      <c r="AQ275" s="85" t="s">
        <v>43</v>
      </c>
      <c r="AR275" s="85" t="s">
        <v>43</v>
      </c>
      <c r="AS275" s="85" t="s">
        <v>43</v>
      </c>
      <c r="AT275" s="85" t="s">
        <v>43</v>
      </c>
      <c r="AU275" s="24"/>
      <c r="AV275" s="85" t="s">
        <v>43</v>
      </c>
      <c r="AW275" s="85" t="s">
        <v>43</v>
      </c>
      <c r="AX275" s="85" t="s">
        <v>43</v>
      </c>
      <c r="AY275" s="85" t="s">
        <v>43</v>
      </c>
      <c r="AZ275" s="24"/>
      <c r="BA275" s="85" t="s">
        <v>43</v>
      </c>
      <c r="BB275" s="85" t="s">
        <v>43</v>
      </c>
      <c r="BC275" s="85" t="s">
        <v>43</v>
      </c>
      <c r="BD275" s="85" t="s">
        <v>43</v>
      </c>
      <c r="BE275" s="24"/>
    </row>
    <row r="276" spans="1:57" ht="11.7" hidden="1" customHeight="1">
      <c r="A276" s="71" t="s">
        <v>8</v>
      </c>
      <c r="B276" s="24"/>
      <c r="C276" s="73"/>
      <c r="D276" s="73"/>
      <c r="E276" s="73"/>
      <c r="F276" s="73"/>
      <c r="G276" s="24"/>
      <c r="H276" s="73"/>
      <c r="I276" s="73"/>
      <c r="J276" s="73"/>
      <c r="K276" s="73"/>
      <c r="L276" s="24"/>
      <c r="M276" s="73"/>
      <c r="N276" s="73"/>
      <c r="O276" s="73"/>
      <c r="P276" s="73"/>
      <c r="Q276" s="24">
        <f>Q274/L274-1</f>
        <v>3.9215686274509887E-2</v>
      </c>
      <c r="R276" s="73"/>
      <c r="S276" s="73"/>
      <c r="T276" s="73"/>
      <c r="U276" s="73"/>
      <c r="V276" s="24">
        <f t="shared" ref="V276:AD276" si="204">V274/Q274-1</f>
        <v>0.4339622641509433</v>
      </c>
      <c r="W276" s="73">
        <f t="shared" si="204"/>
        <v>0.39999999999999991</v>
      </c>
      <c r="X276" s="73">
        <f t="shared" si="204"/>
        <v>0.44444444444444442</v>
      </c>
      <c r="Y276" s="73">
        <f t="shared" si="204"/>
        <v>-0.19999999999999996</v>
      </c>
      <c r="Z276" s="73">
        <f t="shared" si="204"/>
        <v>-0.38888888888888884</v>
      </c>
      <c r="AA276" s="24">
        <f t="shared" si="204"/>
        <v>6.578947368421062E-2</v>
      </c>
      <c r="AB276" s="73">
        <f t="shared" si="204"/>
        <v>-0.75</v>
      </c>
      <c r="AC276" s="73">
        <f t="shared" si="204"/>
        <v>-0.76923076923076916</v>
      </c>
      <c r="AD276" s="73">
        <f t="shared" si="204"/>
        <v>-0.625</v>
      </c>
      <c r="AE276" s="73">
        <f>AE274/Z274-1</f>
        <v>-0.36363636363636365</v>
      </c>
      <c r="AF276" s="24">
        <v>-0.67901234567901236</v>
      </c>
      <c r="AG276" s="85" t="s">
        <v>43</v>
      </c>
      <c r="AH276" s="85" t="s">
        <v>43</v>
      </c>
      <c r="AI276" s="85" t="s">
        <v>43</v>
      </c>
      <c r="AJ276" s="85" t="s">
        <v>43</v>
      </c>
      <c r="AK276" s="92" t="s">
        <v>43</v>
      </c>
      <c r="AL276" s="85" t="s">
        <v>43</v>
      </c>
      <c r="AM276" s="85" t="s">
        <v>43</v>
      </c>
      <c r="AN276" s="85" t="s">
        <v>43</v>
      </c>
      <c r="AO276" s="85" t="s">
        <v>43</v>
      </c>
      <c r="AP276" s="92" t="s">
        <v>43</v>
      </c>
      <c r="AQ276" s="85" t="s">
        <v>43</v>
      </c>
      <c r="AR276" s="85" t="s">
        <v>43</v>
      </c>
      <c r="AS276" s="85" t="s">
        <v>43</v>
      </c>
      <c r="AT276" s="85" t="s">
        <v>43</v>
      </c>
      <c r="AU276" s="92" t="s">
        <v>43</v>
      </c>
      <c r="AV276" s="85" t="s">
        <v>43</v>
      </c>
      <c r="AW276" s="85" t="s">
        <v>43</v>
      </c>
      <c r="AX276" s="85" t="s">
        <v>43</v>
      </c>
      <c r="AY276" s="85" t="s">
        <v>43</v>
      </c>
      <c r="AZ276" s="92" t="s">
        <v>43</v>
      </c>
      <c r="BA276" s="85" t="s">
        <v>43</v>
      </c>
      <c r="BB276" s="85" t="s">
        <v>43</v>
      </c>
      <c r="BC276" s="85" t="s">
        <v>43</v>
      </c>
      <c r="BD276" s="85" t="s">
        <v>43</v>
      </c>
      <c r="BE276" s="92" t="s">
        <v>43</v>
      </c>
    </row>
    <row r="277" spans="1:57" ht="10.5" customHeight="1">
      <c r="A277" s="50" t="s">
        <v>20</v>
      </c>
      <c r="B277" s="40"/>
      <c r="C277" s="52"/>
      <c r="D277" s="52"/>
      <c r="E277" s="52"/>
      <c r="F277" s="52"/>
      <c r="G277" s="40"/>
      <c r="H277" s="52"/>
      <c r="I277" s="52"/>
      <c r="J277" s="52"/>
      <c r="K277" s="52"/>
      <c r="L277" s="40"/>
      <c r="M277" s="52"/>
      <c r="N277" s="52"/>
      <c r="O277" s="52"/>
      <c r="P277" s="52"/>
      <c r="Q277" s="40"/>
      <c r="R277" s="52"/>
      <c r="S277" s="52"/>
      <c r="T277" s="52"/>
      <c r="U277" s="52"/>
      <c r="V277" s="40"/>
      <c r="W277" s="52"/>
      <c r="X277" s="52"/>
      <c r="Y277" s="52"/>
      <c r="Z277" s="52"/>
      <c r="AA277" s="40"/>
      <c r="AB277" s="52"/>
      <c r="AC277" s="52"/>
      <c r="AD277" s="52"/>
      <c r="AE277" s="52"/>
      <c r="AF277" s="40"/>
      <c r="AG277" s="52"/>
      <c r="AH277" s="52"/>
      <c r="AI277" s="52"/>
      <c r="AJ277" s="52"/>
      <c r="AK277" s="40"/>
      <c r="AL277" s="52"/>
      <c r="AM277" s="52"/>
      <c r="AN277" s="52"/>
      <c r="AO277" s="52"/>
      <c r="AP277" s="40"/>
      <c r="AQ277" s="52"/>
      <c r="AR277" s="52"/>
      <c r="AS277" s="52"/>
      <c r="AT277" s="52"/>
      <c r="AU277" s="40"/>
      <c r="AV277" s="52"/>
      <c r="AW277" s="52"/>
      <c r="AX277" s="52"/>
      <c r="AY277" s="52"/>
      <c r="AZ277" s="40"/>
      <c r="BA277" s="52"/>
      <c r="BB277" s="52"/>
      <c r="BC277" s="52"/>
      <c r="BD277" s="52"/>
      <c r="BE277" s="40"/>
    </row>
    <row r="278" spans="1:57" s="36" customFormat="1" ht="12" customHeight="1">
      <c r="A278" s="69" t="s">
        <v>30</v>
      </c>
      <c r="B278" s="56">
        <f t="shared" ref="B278:AE278" si="205">B208/B176</f>
        <v>0.26374725054989001</v>
      </c>
      <c r="C278" s="78">
        <f t="shared" si="205"/>
        <v>0.26491477272727271</v>
      </c>
      <c r="D278" s="78">
        <f t="shared" si="205"/>
        <v>0.32644017725258495</v>
      </c>
      <c r="E278" s="78">
        <f t="shared" si="205"/>
        <v>0.30835734870317005</v>
      </c>
      <c r="F278" s="78">
        <f t="shared" si="205"/>
        <v>0.4157778209563282</v>
      </c>
      <c r="G278" s="56">
        <f t="shared" si="205"/>
        <v>0.31329716062819035</v>
      </c>
      <c r="H278" s="78">
        <f t="shared" si="205"/>
        <v>0.32956259426847662</v>
      </c>
      <c r="I278" s="78">
        <f t="shared" si="205"/>
        <v>0.3292867981790592</v>
      </c>
      <c r="J278" s="78">
        <f t="shared" si="205"/>
        <v>0.36559940431868948</v>
      </c>
      <c r="K278" s="78">
        <f t="shared" si="205"/>
        <v>0.12234042553191489</v>
      </c>
      <c r="L278" s="56">
        <f t="shared" si="205"/>
        <v>0.28719592683386763</v>
      </c>
      <c r="M278" s="78">
        <f t="shared" si="205"/>
        <v>0.37576687116564417</v>
      </c>
      <c r="N278" s="78">
        <f t="shared" si="205"/>
        <v>0.38485080336648814</v>
      </c>
      <c r="O278" s="78">
        <f t="shared" si="205"/>
        <v>0.42025699168556313</v>
      </c>
      <c r="P278" s="78">
        <f t="shared" si="205"/>
        <v>0.37170805116629047</v>
      </c>
      <c r="Q278" s="56">
        <f t="shared" si="205"/>
        <v>0.38818164544936345</v>
      </c>
      <c r="R278" s="78">
        <f t="shared" si="205"/>
        <v>0.17911714770797962</v>
      </c>
      <c r="S278" s="78">
        <f t="shared" si="205"/>
        <v>0.44188034188034186</v>
      </c>
      <c r="T278" s="78">
        <f t="shared" si="205"/>
        <v>0.46037099494097805</v>
      </c>
      <c r="U278" s="78">
        <f t="shared" si="205"/>
        <v>0.35637342908438063</v>
      </c>
      <c r="V278" s="56">
        <f t="shared" si="205"/>
        <v>0.35950946643717729</v>
      </c>
      <c r="W278" s="78">
        <f t="shared" si="205"/>
        <v>0.44954128440366975</v>
      </c>
      <c r="X278" s="78">
        <f t="shared" si="205"/>
        <v>0.37639965546942289</v>
      </c>
      <c r="Y278" s="78">
        <f t="shared" si="205"/>
        <v>0.3646649260226284</v>
      </c>
      <c r="Z278" s="78">
        <f t="shared" si="205"/>
        <v>0.50312221231043708</v>
      </c>
      <c r="AA278" s="56">
        <f t="shared" si="205"/>
        <v>0.42311015118790496</v>
      </c>
      <c r="AB278" s="78">
        <f t="shared" si="205"/>
        <v>0.47387068201948629</v>
      </c>
      <c r="AC278" s="78">
        <f t="shared" si="205"/>
        <v>0.45495093666369313</v>
      </c>
      <c r="AD278" s="78">
        <f t="shared" si="205"/>
        <v>0.43833185448092282</v>
      </c>
      <c r="AE278" s="78">
        <f t="shared" si="205"/>
        <v>0.41689373297002724</v>
      </c>
      <c r="AF278" s="56">
        <v>0.44618133095131757</v>
      </c>
      <c r="AG278" s="78">
        <v>0.46796657381615597</v>
      </c>
      <c r="AH278" s="78">
        <v>0.43895619757688725</v>
      </c>
      <c r="AI278" s="78">
        <v>0.46068455134135061</v>
      </c>
      <c r="AJ278" s="78">
        <v>0.46685082872928174</v>
      </c>
      <c r="AK278" s="56">
        <v>0.45865184155663657</v>
      </c>
      <c r="AL278" s="78">
        <v>0.49146451033243488</v>
      </c>
      <c r="AM278" s="78">
        <v>0.59909502262443437</v>
      </c>
      <c r="AN278" s="78">
        <v>0.46503178928247046</v>
      </c>
      <c r="AO278" s="78">
        <v>0.39246323529411764</v>
      </c>
      <c r="AP278" s="56">
        <v>0.48740639891082371</v>
      </c>
      <c r="AQ278" s="78">
        <v>0.48201438848920863</v>
      </c>
      <c r="AR278" s="78">
        <v>0.49090909090909091</v>
      </c>
      <c r="AS278" s="78">
        <v>0.47658402203856748</v>
      </c>
      <c r="AT278" s="78">
        <v>0.44454713493530501</v>
      </c>
      <c r="AU278" s="56">
        <v>0.47364818617385351</v>
      </c>
      <c r="AV278" s="78">
        <v>0.47588126159554733</v>
      </c>
      <c r="AW278" s="78">
        <v>0.46880907372400754</v>
      </c>
      <c r="AX278" s="78">
        <v>0.46371347785108391</v>
      </c>
      <c r="AY278" s="78">
        <v>0.44890162368672398</v>
      </c>
      <c r="AZ278" s="56">
        <v>0.46442035815268612</v>
      </c>
      <c r="BA278" s="78">
        <v>0.444967074317968</v>
      </c>
      <c r="BB278" s="78">
        <v>0.36372180451127817</v>
      </c>
      <c r="BC278" s="78">
        <v>0.43240651965484178</v>
      </c>
      <c r="BD278" s="78">
        <v>-8.4795321637426896E-2</v>
      </c>
      <c r="BE278" s="56">
        <v>0.29170638703527169</v>
      </c>
    </row>
    <row r="279" spans="1:57" s="36" customFormat="1" ht="12" customHeight="1">
      <c r="A279" s="69" t="s">
        <v>38</v>
      </c>
      <c r="B279" s="56">
        <f t="shared" ref="B279:AE279" si="206">B217/B176</f>
        <v>0.14737052589482103</v>
      </c>
      <c r="C279" s="78">
        <f t="shared" si="206"/>
        <v>0.17329545454545456</v>
      </c>
      <c r="D279" s="78">
        <f t="shared" si="206"/>
        <v>0.21418020679468242</v>
      </c>
      <c r="E279" s="78">
        <f t="shared" si="206"/>
        <v>0.1952449567723343</v>
      </c>
      <c r="F279" s="78">
        <f t="shared" si="206"/>
        <v>0.25986113809770511</v>
      </c>
      <c r="G279" s="56">
        <f t="shared" si="206"/>
        <v>0.2017846119300209</v>
      </c>
      <c r="H279" s="78">
        <f t="shared" si="206"/>
        <v>0.25339366515837103</v>
      </c>
      <c r="I279" s="78">
        <f t="shared" si="206"/>
        <v>0.23975720789074356</v>
      </c>
      <c r="J279" s="78">
        <f t="shared" si="206"/>
        <v>0.23752792256142963</v>
      </c>
      <c r="K279" s="78">
        <f t="shared" si="206"/>
        <v>0.10334346504559271</v>
      </c>
      <c r="L279" s="56">
        <f t="shared" si="206"/>
        <v>0.20874976428436734</v>
      </c>
      <c r="M279" s="78">
        <f t="shared" si="206"/>
        <v>0.27607361963190186</v>
      </c>
      <c r="N279" s="78">
        <f t="shared" si="206"/>
        <v>0.26702371843917366</v>
      </c>
      <c r="O279" s="78">
        <f t="shared" si="206"/>
        <v>0.28495842781557068</v>
      </c>
      <c r="P279" s="78">
        <f t="shared" si="206"/>
        <v>0.25583145221971409</v>
      </c>
      <c r="Q279" s="56">
        <f t="shared" si="206"/>
        <v>0.2709481284438533</v>
      </c>
      <c r="R279" s="78">
        <f t="shared" si="206"/>
        <v>0.10441426146010187</v>
      </c>
      <c r="S279" s="78">
        <f t="shared" si="206"/>
        <v>0.28205128205128205</v>
      </c>
      <c r="T279" s="78">
        <f t="shared" si="206"/>
        <v>0.26222596964586847</v>
      </c>
      <c r="U279" s="78">
        <f t="shared" si="206"/>
        <v>0.27737881508078993</v>
      </c>
      <c r="V279" s="56">
        <f t="shared" si="206"/>
        <v>0.23085197934595525</v>
      </c>
      <c r="W279" s="78">
        <f t="shared" si="206"/>
        <v>0.29024186822351961</v>
      </c>
      <c r="X279" s="78">
        <f t="shared" si="206"/>
        <v>0.22652885443583118</v>
      </c>
      <c r="Y279" s="78">
        <f t="shared" si="206"/>
        <v>0.21409921671018275</v>
      </c>
      <c r="Z279" s="78">
        <f t="shared" si="206"/>
        <v>0.33006244424620873</v>
      </c>
      <c r="AA279" s="56">
        <f t="shared" si="206"/>
        <v>0.26501079913606912</v>
      </c>
      <c r="AB279" s="78">
        <f t="shared" si="206"/>
        <v>0.26837909654561559</v>
      </c>
      <c r="AC279" s="78">
        <f t="shared" si="206"/>
        <v>0.26048171275646742</v>
      </c>
      <c r="AD279" s="78">
        <f t="shared" si="206"/>
        <v>0.25554569653948533</v>
      </c>
      <c r="AE279" s="78">
        <f t="shared" si="206"/>
        <v>0.23887375113533152</v>
      </c>
      <c r="AF279" s="56">
        <v>0.2559178204555605</v>
      </c>
      <c r="AG279" s="78">
        <v>0.27390900649953576</v>
      </c>
      <c r="AH279" s="78">
        <v>0.23392357875116496</v>
      </c>
      <c r="AI279" s="78">
        <v>0.2432932469935245</v>
      </c>
      <c r="AJ279" s="78">
        <v>0.26979742173112337</v>
      </c>
      <c r="AK279" s="56">
        <v>0.25526986333101692</v>
      </c>
      <c r="AL279" s="78">
        <v>0.31087151841868821</v>
      </c>
      <c r="AM279" s="78">
        <v>0.34570135746606334</v>
      </c>
      <c r="AN279" s="78">
        <v>0.23251589464123523</v>
      </c>
      <c r="AO279" s="78">
        <v>0.3125</v>
      </c>
      <c r="AP279" s="56">
        <v>0.30043113228953938</v>
      </c>
      <c r="AQ279" s="78">
        <v>0.29496402877697842</v>
      </c>
      <c r="AR279" s="78">
        <v>0.29636363636363638</v>
      </c>
      <c r="AS279" s="78">
        <v>0.31496786042240588</v>
      </c>
      <c r="AT279" s="78">
        <v>0.21719038817005545</v>
      </c>
      <c r="AU279" s="56">
        <v>0.28108601414556239</v>
      </c>
      <c r="AV279" s="78">
        <v>0.29591836734693877</v>
      </c>
      <c r="AW279" s="78">
        <v>0.29962192816635158</v>
      </c>
      <c r="AX279" s="78">
        <v>0.26013195098963243</v>
      </c>
      <c r="AY279" s="78">
        <v>0.24832855778414517</v>
      </c>
      <c r="AZ279" s="56">
        <v>0.27615457115928371</v>
      </c>
      <c r="BA279" s="78">
        <v>0.24741298212605833</v>
      </c>
      <c r="BB279" s="78">
        <v>0.18984962406015038</v>
      </c>
      <c r="BC279" s="78">
        <v>0.2464046021093001</v>
      </c>
      <c r="BD279" s="78">
        <v>-0.15107212475633527</v>
      </c>
      <c r="BE279" s="56">
        <v>0.13512869399428026</v>
      </c>
    </row>
    <row r="280" spans="1:57" s="36" customFormat="1" ht="11.25" customHeight="1">
      <c r="A280" s="69" t="s">
        <v>10</v>
      </c>
      <c r="B280" s="56">
        <f t="shared" ref="B280:AE280" si="207">B221/B176</f>
        <v>0.45190961807638474</v>
      </c>
      <c r="C280" s="78">
        <f t="shared" si="207"/>
        <v>0.41974431818181818</v>
      </c>
      <c r="D280" s="78">
        <f t="shared" si="207"/>
        <v>0.48227474150664695</v>
      </c>
      <c r="E280" s="78">
        <f t="shared" si="207"/>
        <v>0.46253602305475505</v>
      </c>
      <c r="F280" s="78">
        <f t="shared" si="207"/>
        <v>0.79033628897302033</v>
      </c>
      <c r="G280" s="56">
        <f t="shared" si="207"/>
        <v>0.49426609680121958</v>
      </c>
      <c r="H280" s="78">
        <f t="shared" si="207"/>
        <v>0.48868778280542985</v>
      </c>
      <c r="I280" s="78">
        <f t="shared" si="207"/>
        <v>0.48482549317147194</v>
      </c>
      <c r="J280" s="78">
        <f t="shared" si="207"/>
        <v>0.50260610573343256</v>
      </c>
      <c r="K280" s="78">
        <f t="shared" si="207"/>
        <v>0.26975683890577506</v>
      </c>
      <c r="L280" s="56">
        <f t="shared" si="207"/>
        <v>0.43692249669998112</v>
      </c>
      <c r="M280" s="78">
        <f t="shared" si="207"/>
        <v>0.50613496932515334</v>
      </c>
      <c r="N280" s="78">
        <f t="shared" si="207"/>
        <v>0.51568477429227233</v>
      </c>
      <c r="O280" s="78">
        <f t="shared" si="207"/>
        <v>0.54950869236583522</v>
      </c>
      <c r="P280" s="78">
        <f t="shared" si="207"/>
        <v>0.50564334085778784</v>
      </c>
      <c r="Q280" s="56">
        <f t="shared" si="207"/>
        <v>0.51928557856735702</v>
      </c>
      <c r="R280" s="78">
        <f t="shared" si="207"/>
        <v>0.31663837011884549</v>
      </c>
      <c r="S280" s="78">
        <f t="shared" si="207"/>
        <v>0.58803418803418805</v>
      </c>
      <c r="T280" s="78">
        <f t="shared" si="207"/>
        <v>0.61214165261382802</v>
      </c>
      <c r="U280" s="78">
        <f t="shared" si="207"/>
        <v>0.51346499102333931</v>
      </c>
      <c r="V280" s="56">
        <f t="shared" si="207"/>
        <v>0.50753012048192769</v>
      </c>
      <c r="W280" s="78">
        <f t="shared" si="207"/>
        <v>0.59799833194328611</v>
      </c>
      <c r="X280" s="78">
        <f t="shared" si="207"/>
        <v>0.52971576227390182</v>
      </c>
      <c r="Y280" s="78">
        <f t="shared" si="207"/>
        <v>0.52567449956483903</v>
      </c>
      <c r="Z280" s="78">
        <f t="shared" si="207"/>
        <v>0.67172167707404107</v>
      </c>
      <c r="AA280" s="56">
        <f t="shared" si="207"/>
        <v>0.58077753779697627</v>
      </c>
      <c r="AB280" s="78">
        <f t="shared" si="207"/>
        <v>0.62178919397697074</v>
      </c>
      <c r="AC280" s="78">
        <f t="shared" si="207"/>
        <v>0.60481712756467443</v>
      </c>
      <c r="AD280" s="78">
        <f t="shared" si="207"/>
        <v>0.59272404614019525</v>
      </c>
      <c r="AE280" s="78">
        <f t="shared" si="207"/>
        <v>0.57493188010899188</v>
      </c>
      <c r="AF280" s="56">
        <v>0.5987047789191603</v>
      </c>
      <c r="AG280" s="78">
        <v>0.62395543175487467</v>
      </c>
      <c r="AH280" s="78">
        <v>0.59925442684063379</v>
      </c>
      <c r="AI280" s="78">
        <v>0.62534690101757628</v>
      </c>
      <c r="AJ280" s="78">
        <v>0.62338858195211788</v>
      </c>
      <c r="AK280" s="56">
        <v>0.61802177438035677</v>
      </c>
      <c r="AL280" s="78">
        <v>0.64959568733153639</v>
      </c>
      <c r="AM280" s="78">
        <v>0.7619909502262443</v>
      </c>
      <c r="AN280" s="78">
        <v>0.63215258855585832</v>
      </c>
      <c r="AO280" s="78">
        <v>0.5625</v>
      </c>
      <c r="AP280" s="56">
        <v>0.65191740412979349</v>
      </c>
      <c r="AQ280" s="78">
        <v>0.64658273381294962</v>
      </c>
      <c r="AR280" s="78">
        <v>0.65909090909090906</v>
      </c>
      <c r="AS280" s="78">
        <v>0.64921946740128555</v>
      </c>
      <c r="AT280" s="78">
        <v>0.59334565619223656</v>
      </c>
      <c r="AU280" s="56">
        <v>0.63723477070499657</v>
      </c>
      <c r="AV280" s="78">
        <v>0.6428571428571429</v>
      </c>
      <c r="AW280" s="78">
        <v>0.63610586011342152</v>
      </c>
      <c r="AX280" s="78">
        <v>0.63901979264844488</v>
      </c>
      <c r="AY280" s="78">
        <v>0.62559694364851959</v>
      </c>
      <c r="AZ280" s="56">
        <v>0.63595664467483504</v>
      </c>
      <c r="BA280" s="78">
        <v>0.63687676387582315</v>
      </c>
      <c r="BB280" s="78">
        <v>0.56203007518796988</v>
      </c>
      <c r="BC280" s="78">
        <v>0.64141898370086292</v>
      </c>
      <c r="BD280" s="78">
        <v>0.12670565302144249</v>
      </c>
      <c r="BE280" s="56">
        <v>0.49428026692087701</v>
      </c>
    </row>
    <row r="281" spans="1:57" s="36" customFormat="1" ht="11.25" customHeight="1">
      <c r="A281" s="69" t="s">
        <v>19</v>
      </c>
      <c r="B281" s="56">
        <f t="shared" ref="B281:AE281" si="208">B236/B176</f>
        <v>0.10097980403919216</v>
      </c>
      <c r="C281" s="78">
        <f t="shared" si="208"/>
        <v>0.11221590909090909</v>
      </c>
      <c r="D281" s="78">
        <f t="shared" si="208"/>
        <v>9.7488921713441659E-2</v>
      </c>
      <c r="E281" s="78">
        <f t="shared" si="208"/>
        <v>0.11239193083573487</v>
      </c>
      <c r="F281" s="78">
        <f t="shared" si="208"/>
        <v>0.30466478259730945</v>
      </c>
      <c r="G281" s="56">
        <f t="shared" si="208"/>
        <v>0.1308413904725188</v>
      </c>
      <c r="H281" s="78">
        <f t="shared" si="208"/>
        <v>0.17948717948717949</v>
      </c>
      <c r="I281" s="78">
        <f t="shared" si="208"/>
        <v>0.1449165402124431</v>
      </c>
      <c r="J281" s="78">
        <f t="shared" si="208"/>
        <v>0.15189873417721519</v>
      </c>
      <c r="K281" s="78">
        <f t="shared" si="208"/>
        <v>0.16717325227963525</v>
      </c>
      <c r="L281" s="56">
        <f t="shared" si="208"/>
        <v>0.16085234772770129</v>
      </c>
      <c r="M281" s="78">
        <f t="shared" si="208"/>
        <v>0.18251533742331288</v>
      </c>
      <c r="N281" s="78">
        <f t="shared" si="208"/>
        <v>0.18898240244835501</v>
      </c>
      <c r="O281" s="78">
        <f t="shared" si="208"/>
        <v>0.18518518518518517</v>
      </c>
      <c r="P281" s="78">
        <f t="shared" si="208"/>
        <v>0.2272385252069225</v>
      </c>
      <c r="Q281" s="56">
        <f t="shared" si="208"/>
        <v>0.1960858825764773</v>
      </c>
      <c r="R281" s="78">
        <f t="shared" si="208"/>
        <v>0.27079796264855688</v>
      </c>
      <c r="S281" s="78">
        <f t="shared" si="208"/>
        <v>0.27264957264957262</v>
      </c>
      <c r="T281" s="78">
        <f t="shared" si="208"/>
        <v>0.22596964586846544</v>
      </c>
      <c r="U281" s="78">
        <f t="shared" si="208"/>
        <v>0.2324955116696589</v>
      </c>
      <c r="V281" s="56">
        <f t="shared" si="208"/>
        <v>0.25064543889845092</v>
      </c>
      <c r="W281" s="78">
        <f t="shared" si="208"/>
        <v>0.22435362802335279</v>
      </c>
      <c r="X281" s="78">
        <f t="shared" si="208"/>
        <v>0.20499569336778639</v>
      </c>
      <c r="Y281" s="78">
        <f t="shared" si="208"/>
        <v>0.21671018276762402</v>
      </c>
      <c r="Z281" s="78">
        <f t="shared" si="208"/>
        <v>0.18019625334522749</v>
      </c>
      <c r="AA281" s="56">
        <f t="shared" si="208"/>
        <v>0.20691144708423326</v>
      </c>
      <c r="AB281" s="78">
        <f t="shared" si="208"/>
        <v>0.16209034543844109</v>
      </c>
      <c r="AC281" s="78">
        <f t="shared" si="208"/>
        <v>0.16592328278322926</v>
      </c>
      <c r="AD281" s="78">
        <f t="shared" si="208"/>
        <v>0.17568766637089619</v>
      </c>
      <c r="AE281" s="78">
        <f t="shared" si="208"/>
        <v>0.20163487738419619</v>
      </c>
      <c r="AF281" s="56">
        <v>0.17619472979008485</v>
      </c>
      <c r="AG281" s="78">
        <v>0.19498607242339833</v>
      </c>
      <c r="AH281" s="78">
        <v>0.19291705498602049</v>
      </c>
      <c r="AI281" s="78">
        <v>0.19426456984273821</v>
      </c>
      <c r="AJ281" s="78">
        <v>0.17955801104972377</v>
      </c>
      <c r="AK281" s="56">
        <v>0.19041000694927032</v>
      </c>
      <c r="AL281" s="78">
        <v>0.20754716981132076</v>
      </c>
      <c r="AM281" s="78">
        <v>0.17285067873303167</v>
      </c>
      <c r="AN281" s="78">
        <v>0.20890099909173479</v>
      </c>
      <c r="AO281" s="78">
        <v>0.18106617647058823</v>
      </c>
      <c r="AP281" s="56">
        <v>0.19264805990469708</v>
      </c>
      <c r="AQ281" s="78">
        <v>0.17535971223021582</v>
      </c>
      <c r="AR281" s="78">
        <v>0.20636363636363636</v>
      </c>
      <c r="AS281" s="78">
        <v>0.19008264462809918</v>
      </c>
      <c r="AT281" s="78">
        <v>0.18946395563770796</v>
      </c>
      <c r="AU281" s="56">
        <v>0.19028062970568105</v>
      </c>
      <c r="AV281" s="78">
        <v>0.19480519480519481</v>
      </c>
      <c r="AW281" s="78">
        <v>0.20699432892249528</v>
      </c>
      <c r="AX281" s="78">
        <v>0.16022620169651272</v>
      </c>
      <c r="AY281" s="78">
        <v>0.21585482330468003</v>
      </c>
      <c r="AZ281" s="56">
        <v>0.19439208294062205</v>
      </c>
      <c r="BA281" s="78">
        <v>0.19285042333019756</v>
      </c>
      <c r="BB281" s="78">
        <v>0.29417293233082709</v>
      </c>
      <c r="BC281" s="78">
        <v>0.2233940556088207</v>
      </c>
      <c r="BD281" s="78">
        <v>0.21929824561403508</v>
      </c>
      <c r="BE281" s="56">
        <v>0.23260247855100094</v>
      </c>
    </row>
    <row r="282" spans="1:57" ht="6"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c r="AA282" s="54"/>
      <c r="AB282" s="54"/>
      <c r="AC282" s="54"/>
      <c r="AD282" s="54"/>
      <c r="AE282" s="54"/>
      <c r="AF282" s="54"/>
      <c r="AG282" s="54"/>
      <c r="AH282" s="54"/>
      <c r="AI282" s="54"/>
      <c r="AJ282" s="54"/>
      <c r="AK282" s="54"/>
      <c r="AL282" s="54"/>
      <c r="AM282" s="54"/>
      <c r="AN282" s="54"/>
      <c r="AO282" s="54"/>
      <c r="AP282" s="54"/>
      <c r="AQ282" s="54"/>
      <c r="AR282" s="54"/>
      <c r="AS282" s="54"/>
      <c r="AT282" s="54"/>
      <c r="AU282" s="54"/>
      <c r="AV282" s="54"/>
      <c r="AW282" s="54"/>
      <c r="AX282" s="54"/>
      <c r="AY282" s="54"/>
      <c r="AZ282" s="54"/>
      <c r="BA282" s="54"/>
      <c r="BB282" s="54"/>
      <c r="BC282" s="54"/>
      <c r="BD282" s="54"/>
      <c r="BE282" s="54"/>
    </row>
    <row r="283" spans="1:57" ht="21">
      <c r="A283" s="35" t="s">
        <v>3</v>
      </c>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c r="BA283" s="28"/>
      <c r="BB283" s="28"/>
      <c r="BC283" s="28"/>
      <c r="BD283" s="28"/>
      <c r="BE283" s="28"/>
    </row>
    <row r="284" spans="1:57">
      <c r="A284" s="40" t="s">
        <v>82</v>
      </c>
      <c r="B284" s="41"/>
      <c r="C284" s="42"/>
      <c r="D284" s="42"/>
      <c r="E284" s="42"/>
      <c r="F284" s="42"/>
      <c r="G284" s="41"/>
      <c r="H284" s="42"/>
      <c r="I284" s="42"/>
      <c r="J284" s="42"/>
      <c r="K284" s="42"/>
      <c r="L284" s="41"/>
      <c r="M284" s="42"/>
      <c r="N284" s="42"/>
      <c r="O284" s="42"/>
      <c r="P284" s="42"/>
      <c r="Q284" s="41"/>
      <c r="R284" s="42"/>
      <c r="S284" s="42"/>
      <c r="T284" s="42"/>
      <c r="U284" s="42"/>
      <c r="V284" s="41"/>
      <c r="W284" s="42"/>
      <c r="X284" s="42"/>
      <c r="Y284" s="42"/>
      <c r="Z284" s="42"/>
      <c r="AA284" s="41"/>
      <c r="AB284" s="42"/>
      <c r="AC284" s="42"/>
      <c r="AD284" s="42"/>
      <c r="AE284" s="42"/>
      <c r="AF284" s="41"/>
      <c r="AG284" s="42"/>
      <c r="AH284" s="42"/>
      <c r="AI284" s="42"/>
      <c r="AJ284" s="42"/>
      <c r="AK284" s="41"/>
      <c r="AL284" s="42"/>
      <c r="AM284" s="42"/>
      <c r="AN284" s="42"/>
      <c r="AO284" s="42"/>
      <c r="AP284" s="41"/>
      <c r="AQ284" s="42"/>
      <c r="AR284" s="42"/>
      <c r="AS284" s="42"/>
      <c r="AT284" s="42"/>
      <c r="AU284" s="41"/>
      <c r="AV284" s="42"/>
      <c r="AW284" s="42"/>
      <c r="AX284" s="42"/>
      <c r="AY284" s="42"/>
      <c r="AZ284" s="41"/>
      <c r="BA284" s="42"/>
      <c r="BB284" s="42"/>
      <c r="BC284" s="42"/>
      <c r="BD284" s="42"/>
      <c r="BE284" s="41"/>
    </row>
    <row r="285" spans="1:57">
      <c r="A285" s="69" t="s">
        <v>62</v>
      </c>
      <c r="B285" s="37">
        <f>B288+B291</f>
        <v>4684</v>
      </c>
      <c r="C285" s="70">
        <v>1173</v>
      </c>
      <c r="D285" s="70">
        <v>1188</v>
      </c>
      <c r="E285" s="70">
        <v>1214</v>
      </c>
      <c r="F285" s="70">
        <f>G285-E285-D285-C285</f>
        <v>1138</v>
      </c>
      <c r="G285" s="37">
        <f>G288+G291</f>
        <v>4713</v>
      </c>
      <c r="H285" s="70">
        <f>H288+H291</f>
        <v>1265</v>
      </c>
      <c r="I285" s="70">
        <f>I288+I291</f>
        <v>1346</v>
      </c>
      <c r="J285" s="70">
        <f>J288+J291</f>
        <v>1372</v>
      </c>
      <c r="K285" s="70">
        <f>L285-J285-I285-H285</f>
        <v>1393</v>
      </c>
      <c r="L285" s="37">
        <f>L288+L291</f>
        <v>5376</v>
      </c>
      <c r="M285" s="70">
        <f>M288+M291</f>
        <v>1393</v>
      </c>
      <c r="N285" s="70">
        <f>N288+N291</f>
        <v>1429</v>
      </c>
      <c r="O285" s="70">
        <f>O288+O291</f>
        <v>1442</v>
      </c>
      <c r="P285" s="70">
        <f>Q285-O285-N285-M285</f>
        <v>1468</v>
      </c>
      <c r="Q285" s="37">
        <f>Q288+Q291</f>
        <v>5732</v>
      </c>
      <c r="R285" s="70">
        <f>R288+R291</f>
        <v>1450</v>
      </c>
      <c r="S285" s="70">
        <v>1438</v>
      </c>
      <c r="T285" s="70">
        <f>T288+T291</f>
        <v>1421</v>
      </c>
      <c r="U285" s="70">
        <f>V285-T285-S285-R285</f>
        <v>1239</v>
      </c>
      <c r="V285" s="37">
        <v>5548</v>
      </c>
      <c r="W285" s="70">
        <f>W288+W291</f>
        <v>1244</v>
      </c>
      <c r="X285" s="70">
        <v>1148</v>
      </c>
      <c r="Y285" s="70">
        <f>Y288+Y291</f>
        <v>1049</v>
      </c>
      <c r="Z285" s="70">
        <f>AA285-Y285-X285-W285</f>
        <v>1027</v>
      </c>
      <c r="AA285" s="37">
        <f>AA288+AA291</f>
        <v>4468</v>
      </c>
      <c r="AB285" s="70">
        <f>AB288+AB291</f>
        <v>964</v>
      </c>
      <c r="AC285" s="70">
        <f>AC288+AC291</f>
        <v>915</v>
      </c>
      <c r="AD285" s="70">
        <f>AD288+AD291</f>
        <v>947</v>
      </c>
      <c r="AE285" s="70">
        <f>AF285-AD285-AC285-AB285</f>
        <v>983</v>
      </c>
      <c r="AF285" s="37">
        <v>3809</v>
      </c>
      <c r="AG285" s="70">
        <v>917</v>
      </c>
      <c r="AH285" s="70">
        <v>843</v>
      </c>
      <c r="AI285" s="70">
        <v>824</v>
      </c>
      <c r="AJ285" s="70">
        <v>835</v>
      </c>
      <c r="AK285" s="37">
        <v>3419</v>
      </c>
      <c r="AL285" s="70">
        <v>727</v>
      </c>
      <c r="AM285" s="70">
        <v>721</v>
      </c>
      <c r="AN285" s="70">
        <v>729</v>
      </c>
      <c r="AO285" s="70">
        <v>713</v>
      </c>
      <c r="AP285" s="37">
        <v>2890</v>
      </c>
      <c r="AQ285" s="70">
        <v>671</v>
      </c>
      <c r="AR285" s="70">
        <v>658</v>
      </c>
      <c r="AS285" s="70">
        <v>649</v>
      </c>
      <c r="AT285" s="70">
        <v>652</v>
      </c>
      <c r="AU285" s="37">
        <v>2630</v>
      </c>
      <c r="AV285" s="70">
        <v>628</v>
      </c>
      <c r="AW285" s="70">
        <v>632</v>
      </c>
      <c r="AX285" s="70">
        <v>635</v>
      </c>
      <c r="AY285" s="70">
        <v>651</v>
      </c>
      <c r="AZ285" s="37">
        <v>2546</v>
      </c>
      <c r="BA285" s="70">
        <v>619</v>
      </c>
      <c r="BB285" s="70">
        <v>602</v>
      </c>
      <c r="BC285" s="70">
        <v>604</v>
      </c>
      <c r="BD285" s="70">
        <v>618</v>
      </c>
      <c r="BE285" s="37">
        <v>2443</v>
      </c>
    </row>
    <row r="286" spans="1:57" ht="11.25" customHeight="1">
      <c r="A286" s="71" t="s">
        <v>7</v>
      </c>
      <c r="B286" s="24"/>
      <c r="C286" s="72"/>
      <c r="D286" s="72">
        <f>D285/C285-1</f>
        <v>1.2787723785166349E-2</v>
      </c>
      <c r="E286" s="72">
        <f>E285/D285-1</f>
        <v>2.1885521885521841E-2</v>
      </c>
      <c r="F286" s="72">
        <f>F285/E285-1</f>
        <v>-6.2602965403624422E-2</v>
      </c>
      <c r="G286" s="24"/>
      <c r="H286" s="72">
        <f>H285/F285-1</f>
        <v>0.11159929701230231</v>
      </c>
      <c r="I286" s="72">
        <f>I285/H285-1</f>
        <v>6.4031620553359758E-2</v>
      </c>
      <c r="J286" s="72">
        <f>J285/I285-1</f>
        <v>1.9316493313521477E-2</v>
      </c>
      <c r="K286" s="72">
        <f>K285/J285-1</f>
        <v>1.5306122448979664E-2</v>
      </c>
      <c r="L286" s="24"/>
      <c r="M286" s="72">
        <f>M285/K285-1</f>
        <v>0</v>
      </c>
      <c r="N286" s="72">
        <f>N285/M285-1</f>
        <v>2.5843503230437825E-2</v>
      </c>
      <c r="O286" s="72">
        <f>O285/N285-1</f>
        <v>9.0972708187544438E-3</v>
      </c>
      <c r="P286" s="72">
        <f>P285/O285-1</f>
        <v>1.8030513176144236E-2</v>
      </c>
      <c r="Q286" s="24"/>
      <c r="R286" s="72">
        <f>R285/P285-1</f>
        <v>-1.2261580381471404E-2</v>
      </c>
      <c r="S286" s="72">
        <f>S285/R285-1</f>
        <v>-8.2758620689654672E-3</v>
      </c>
      <c r="T286" s="72">
        <f>T285/S285-1</f>
        <v>-1.182197496522952E-2</v>
      </c>
      <c r="U286" s="72">
        <f>U285/T285-1</f>
        <v>-0.1280788177339901</v>
      </c>
      <c r="V286" s="24"/>
      <c r="W286" s="72">
        <f>W285/U285-1</f>
        <v>4.0355125100888234E-3</v>
      </c>
      <c r="X286" s="72">
        <f>X285/W285-1</f>
        <v>-7.7170418006430874E-2</v>
      </c>
      <c r="Y286" s="72">
        <f>Y285/X285-1</f>
        <v>-8.6236933797909421E-2</v>
      </c>
      <c r="Z286" s="72">
        <f>Z285/Y285-1</f>
        <v>-2.0972354623450928E-2</v>
      </c>
      <c r="AA286" s="24"/>
      <c r="AB286" s="72">
        <f>AB285/Z285-1</f>
        <v>-6.1343719571567701E-2</v>
      </c>
      <c r="AC286" s="72">
        <f>AC285/AB285-1</f>
        <v>-5.0829875518672241E-2</v>
      </c>
      <c r="AD286" s="72">
        <f>AD285/AC285-1</f>
        <v>3.4972677595628499E-2</v>
      </c>
      <c r="AE286" s="72">
        <f>AE285/AD285-1</f>
        <v>3.8014783526927109E-2</v>
      </c>
      <c r="AF286" s="24"/>
      <c r="AG286" s="72">
        <v>-6.7141403865717209E-2</v>
      </c>
      <c r="AH286" s="72">
        <v>-8.0697928026172261E-2</v>
      </c>
      <c r="AI286" s="72">
        <v>-2.2538552787663146E-2</v>
      </c>
      <c r="AJ286" s="72">
        <v>1.3349514563106846E-2</v>
      </c>
      <c r="AK286" s="24"/>
      <c r="AL286" s="72">
        <v>-0.12934131736526944</v>
      </c>
      <c r="AM286" s="72">
        <v>-8.2530949105914519E-3</v>
      </c>
      <c r="AN286" s="72">
        <v>1.1095700416088761E-2</v>
      </c>
      <c r="AO286" s="72">
        <v>-2.1947873799725626E-2</v>
      </c>
      <c r="AP286" s="24"/>
      <c r="AQ286" s="72">
        <v>-5.8906030855540026E-2</v>
      </c>
      <c r="AR286" s="72">
        <v>-1.9374068554396384E-2</v>
      </c>
      <c r="AS286" s="72">
        <v>-1.3677811550152019E-2</v>
      </c>
      <c r="AT286" s="72">
        <v>4.6224961479199855E-3</v>
      </c>
      <c r="AU286" s="24"/>
      <c r="AV286" s="72">
        <v>-3.6809815950920255E-2</v>
      </c>
      <c r="AW286" s="72">
        <v>6.3694267515923553E-3</v>
      </c>
      <c r="AX286" s="72">
        <v>4.746835443038E-3</v>
      </c>
      <c r="AY286" s="72">
        <v>2.5196850393700787E-2</v>
      </c>
      <c r="AZ286" s="24"/>
      <c r="BA286" s="72">
        <v>-4.915514592933945E-2</v>
      </c>
      <c r="BB286" s="72">
        <v>-2.7463651050080751E-2</v>
      </c>
      <c r="BC286" s="72">
        <v>3.3222591362125353E-3</v>
      </c>
      <c r="BD286" s="72">
        <v>2.3178807947019875E-2</v>
      </c>
      <c r="BE286" s="24"/>
    </row>
    <row r="287" spans="1:57" ht="11.25" customHeight="1">
      <c r="A287" s="71" t="s">
        <v>8</v>
      </c>
      <c r="B287" s="24"/>
      <c r="C287" s="73"/>
      <c r="D287" s="73"/>
      <c r="E287" s="73"/>
      <c r="F287" s="73"/>
      <c r="G287" s="24">
        <f t="shared" ref="G287:N287" si="209">G285/B285-1</f>
        <v>6.1912894961571041E-3</v>
      </c>
      <c r="H287" s="73">
        <f t="shared" si="209"/>
        <v>7.8431372549019551E-2</v>
      </c>
      <c r="I287" s="73">
        <f t="shared" si="209"/>
        <v>0.132996632996633</v>
      </c>
      <c r="J287" s="73">
        <f t="shared" si="209"/>
        <v>0.13014827018121911</v>
      </c>
      <c r="K287" s="73">
        <f t="shared" si="209"/>
        <v>0.22407732864674879</v>
      </c>
      <c r="L287" s="24">
        <f t="shared" si="209"/>
        <v>0.14067472947167414</v>
      </c>
      <c r="M287" s="73">
        <f t="shared" si="209"/>
        <v>0.10118577075098822</v>
      </c>
      <c r="N287" s="73">
        <f t="shared" si="209"/>
        <v>6.1664190193164936E-2</v>
      </c>
      <c r="O287" s="73">
        <f t="shared" ref="O287:Y287" si="210">O285/J285-1</f>
        <v>5.1020408163265252E-2</v>
      </c>
      <c r="P287" s="73">
        <f t="shared" si="210"/>
        <v>5.3840631730079025E-2</v>
      </c>
      <c r="Q287" s="24">
        <f t="shared" si="210"/>
        <v>6.6220238095238138E-2</v>
      </c>
      <c r="R287" s="73">
        <f t="shared" si="210"/>
        <v>4.0918880114860112E-2</v>
      </c>
      <c r="S287" s="73">
        <f t="shared" si="210"/>
        <v>6.2981105668300508E-3</v>
      </c>
      <c r="T287" s="73">
        <f t="shared" si="210"/>
        <v>-1.4563106796116498E-2</v>
      </c>
      <c r="U287" s="73">
        <f t="shared" si="210"/>
        <v>-0.15599455040871935</v>
      </c>
      <c r="V287" s="24">
        <f t="shared" si="210"/>
        <v>-3.2100488485694356E-2</v>
      </c>
      <c r="W287" s="73">
        <f t="shared" si="210"/>
        <v>-0.14206896551724135</v>
      </c>
      <c r="X287" s="73">
        <f t="shared" si="210"/>
        <v>-0.20166898470097361</v>
      </c>
      <c r="Y287" s="73">
        <f t="shared" si="210"/>
        <v>-0.26178747361013366</v>
      </c>
      <c r="Z287" s="73">
        <f t="shared" ref="Z287:AE287" si="211">Z285/U285-1</f>
        <v>-0.17110573042776434</v>
      </c>
      <c r="AA287" s="24">
        <f t="shared" si="211"/>
        <v>-0.19466474405191059</v>
      </c>
      <c r="AB287" s="73">
        <f t="shared" si="211"/>
        <v>-0.22508038585209</v>
      </c>
      <c r="AC287" s="73">
        <f t="shared" si="211"/>
        <v>-0.20296167247386765</v>
      </c>
      <c r="AD287" s="73">
        <f t="shared" si="211"/>
        <v>-9.7235462345090617E-2</v>
      </c>
      <c r="AE287" s="73">
        <f t="shared" si="211"/>
        <v>-4.284323271665047E-2</v>
      </c>
      <c r="AF287" s="24">
        <v>-0.14749328558639208</v>
      </c>
      <c r="AG287" s="73">
        <v>-4.875518672199175E-2</v>
      </c>
      <c r="AH287" s="73">
        <v>-7.8688524590163955E-2</v>
      </c>
      <c r="AI287" s="73">
        <v>-0.12988384371700101</v>
      </c>
      <c r="AJ287" s="73">
        <v>-0.15055951169888093</v>
      </c>
      <c r="AK287" s="24">
        <v>-0.10238907849829348</v>
      </c>
      <c r="AL287" s="73">
        <v>-0.20719738276990185</v>
      </c>
      <c r="AM287" s="73">
        <v>-0.1447212336892052</v>
      </c>
      <c r="AN287" s="73">
        <v>-0.11529126213592233</v>
      </c>
      <c r="AO287" s="73">
        <v>-0.1461077844311377</v>
      </c>
      <c r="AP287" s="24">
        <v>-0.15472360339280489</v>
      </c>
      <c r="AQ287" s="73">
        <v>-7.7028885832187033E-2</v>
      </c>
      <c r="AR287" s="73">
        <v>-8.737864077669899E-2</v>
      </c>
      <c r="AS287" s="73">
        <v>-0.10973936899862824</v>
      </c>
      <c r="AT287" s="73">
        <v>-8.5553997194950937E-2</v>
      </c>
      <c r="AU287" s="24">
        <v>-8.9965397923875479E-2</v>
      </c>
      <c r="AV287" s="73">
        <v>-6.4083457526080467E-2</v>
      </c>
      <c r="AW287" s="73">
        <v>-3.951367781155013E-2</v>
      </c>
      <c r="AX287" s="73">
        <v>-2.1571648690292711E-2</v>
      </c>
      <c r="AY287" s="73">
        <v>-1.5337423312883347E-3</v>
      </c>
      <c r="AZ287" s="24">
        <v>-3.1939163498098888E-2</v>
      </c>
      <c r="BA287" s="73">
        <v>-1.4331210191082855E-2</v>
      </c>
      <c r="BB287" s="73">
        <v>-4.7468354430379778E-2</v>
      </c>
      <c r="BC287" s="73">
        <v>-4.8818897637795233E-2</v>
      </c>
      <c r="BD287" s="73">
        <v>-5.0691244239631339E-2</v>
      </c>
      <c r="BE287" s="24">
        <v>-4.0455616653574222E-2</v>
      </c>
    </row>
    <row r="288" spans="1:57">
      <c r="A288" s="69" t="s">
        <v>63</v>
      </c>
      <c r="B288" s="37">
        <v>3972</v>
      </c>
      <c r="C288" s="80" t="s">
        <v>52</v>
      </c>
      <c r="D288" s="80" t="s">
        <v>52</v>
      </c>
      <c r="E288" s="80" t="s">
        <v>52</v>
      </c>
      <c r="F288" s="80" t="s">
        <v>52</v>
      </c>
      <c r="G288" s="37">
        <v>4020</v>
      </c>
      <c r="H288" s="70">
        <v>1019</v>
      </c>
      <c r="I288" s="70">
        <v>1050</v>
      </c>
      <c r="J288" s="70">
        <v>1101</v>
      </c>
      <c r="K288" s="70">
        <f>L288-J288-I288-H288</f>
        <v>1086</v>
      </c>
      <c r="L288" s="37">
        <v>4256</v>
      </c>
      <c r="M288" s="70">
        <v>1106</v>
      </c>
      <c r="N288" s="70">
        <v>1140</v>
      </c>
      <c r="O288" s="70">
        <v>1159</v>
      </c>
      <c r="P288" s="70">
        <f>Q288-O288-N288-M288</f>
        <v>1145</v>
      </c>
      <c r="Q288" s="37">
        <v>4550</v>
      </c>
      <c r="R288" s="70">
        <v>949</v>
      </c>
      <c r="S288" s="70">
        <v>925</v>
      </c>
      <c r="T288" s="70">
        <v>914</v>
      </c>
      <c r="U288" s="70">
        <f>V288-T288-S288-R288</f>
        <v>849</v>
      </c>
      <c r="V288" s="37">
        <v>3637</v>
      </c>
      <c r="W288" s="70">
        <v>834</v>
      </c>
      <c r="X288" s="70">
        <v>857</v>
      </c>
      <c r="Y288" s="70">
        <v>816</v>
      </c>
      <c r="Z288" s="70">
        <f>AA288-Y288-X288-W288</f>
        <v>754</v>
      </c>
      <c r="AA288" s="37">
        <v>3261</v>
      </c>
      <c r="AB288" s="70">
        <v>714</v>
      </c>
      <c r="AC288" s="70">
        <v>696</v>
      </c>
      <c r="AD288" s="70">
        <v>710</v>
      </c>
      <c r="AE288" s="70">
        <f>AF288-AD288-AC288-AB288</f>
        <v>688</v>
      </c>
      <c r="AF288" s="37">
        <v>2808</v>
      </c>
      <c r="AG288" s="70">
        <v>637</v>
      </c>
      <c r="AH288" s="70">
        <v>622</v>
      </c>
      <c r="AI288" s="70">
        <v>610</v>
      </c>
      <c r="AJ288" s="70">
        <v>584</v>
      </c>
      <c r="AK288" s="37">
        <v>2453</v>
      </c>
      <c r="AL288" s="70">
        <v>499</v>
      </c>
      <c r="AM288" s="70">
        <v>502</v>
      </c>
      <c r="AN288" s="70">
        <v>521</v>
      </c>
      <c r="AO288" s="70">
        <v>477</v>
      </c>
      <c r="AP288" s="37">
        <v>1999</v>
      </c>
      <c r="AQ288" s="70">
        <v>455</v>
      </c>
      <c r="AR288" s="70">
        <v>456</v>
      </c>
      <c r="AS288" s="70">
        <v>468</v>
      </c>
      <c r="AT288" s="70">
        <v>439</v>
      </c>
      <c r="AU288" s="37">
        <v>1818</v>
      </c>
      <c r="AV288" s="70">
        <v>435</v>
      </c>
      <c r="AW288" s="70">
        <v>449</v>
      </c>
      <c r="AX288" s="70">
        <v>461</v>
      </c>
      <c r="AY288" s="70">
        <v>437</v>
      </c>
      <c r="AZ288" s="37">
        <v>1782</v>
      </c>
      <c r="BA288" s="70">
        <v>431</v>
      </c>
      <c r="BB288" s="70">
        <v>438</v>
      </c>
      <c r="BC288" s="70">
        <v>449</v>
      </c>
      <c r="BD288" s="70">
        <v>437</v>
      </c>
      <c r="BE288" s="37">
        <v>1755</v>
      </c>
    </row>
    <row r="289" spans="1:57" ht="10.5" customHeight="1">
      <c r="A289" s="71" t="s">
        <v>7</v>
      </c>
      <c r="B289" s="24"/>
      <c r="C289" s="72"/>
      <c r="D289" s="72"/>
      <c r="E289" s="72"/>
      <c r="F289" s="72"/>
      <c r="G289" s="24"/>
      <c r="H289" s="72"/>
      <c r="I289" s="72">
        <f>I288/H288-1</f>
        <v>3.0421982335623099E-2</v>
      </c>
      <c r="J289" s="72">
        <f>J288/I288-1</f>
        <v>4.8571428571428488E-2</v>
      </c>
      <c r="K289" s="72">
        <f>K288/J288-1</f>
        <v>-1.3623978201634857E-2</v>
      </c>
      <c r="L289" s="24"/>
      <c r="M289" s="72">
        <f>M288/K288-1</f>
        <v>1.8416206261510082E-2</v>
      </c>
      <c r="N289" s="72">
        <f>N288/M288-1</f>
        <v>3.0741410488245968E-2</v>
      </c>
      <c r="O289" s="72">
        <f>O288/N288-1</f>
        <v>1.6666666666666607E-2</v>
      </c>
      <c r="P289" s="72">
        <f>P288/O288-1</f>
        <v>-1.2079378774805916E-2</v>
      </c>
      <c r="Q289" s="24"/>
      <c r="R289" s="72">
        <f>R288/P288-1</f>
        <v>-0.17117903930131007</v>
      </c>
      <c r="S289" s="72">
        <f>S288/R288-1</f>
        <v>-2.5289778714436273E-2</v>
      </c>
      <c r="T289" s="72">
        <f>T288/S288-1</f>
        <v>-1.1891891891891881E-2</v>
      </c>
      <c r="U289" s="72">
        <f>U288/T288-1</f>
        <v>-7.1115973741794347E-2</v>
      </c>
      <c r="V289" s="24"/>
      <c r="W289" s="72">
        <f>W288/U288-1</f>
        <v>-1.7667844522968212E-2</v>
      </c>
      <c r="X289" s="72">
        <f>X288/W288-1</f>
        <v>2.7577937649880147E-2</v>
      </c>
      <c r="Y289" s="72">
        <f>Y288/X288-1</f>
        <v>-4.7841306884480739E-2</v>
      </c>
      <c r="Z289" s="72">
        <f>Z288/Y288-1</f>
        <v>-7.5980392156862697E-2</v>
      </c>
      <c r="AA289" s="24"/>
      <c r="AB289" s="72">
        <f>AB288/Z288-1</f>
        <v>-5.3050397877984046E-2</v>
      </c>
      <c r="AC289" s="72">
        <f>AC288/AB288-1</f>
        <v>-2.5210084033613467E-2</v>
      </c>
      <c r="AD289" s="72">
        <f>AD288/AC288-1</f>
        <v>2.0114942528735691E-2</v>
      </c>
      <c r="AE289" s="72">
        <f>AE288/AD288-1</f>
        <v>-3.0985915492957705E-2</v>
      </c>
      <c r="AF289" s="24"/>
      <c r="AG289" s="72">
        <v>-7.4127906976744207E-2</v>
      </c>
      <c r="AH289" s="72">
        <v>-2.3547880690737877E-2</v>
      </c>
      <c r="AI289" s="72">
        <v>-1.9292604501607746E-2</v>
      </c>
      <c r="AJ289" s="72">
        <v>-4.2622950819672156E-2</v>
      </c>
      <c r="AK289" s="24"/>
      <c r="AL289" s="72">
        <v>-0.14554794520547942</v>
      </c>
      <c r="AM289" s="72">
        <v>6.0120240480960874E-3</v>
      </c>
      <c r="AN289" s="72">
        <v>3.7848605577689209E-2</v>
      </c>
      <c r="AO289" s="72">
        <v>-8.4452975047984657E-2</v>
      </c>
      <c r="AP289" s="24"/>
      <c r="AQ289" s="72">
        <v>-4.6121593291404639E-2</v>
      </c>
      <c r="AR289" s="72">
        <v>2.19780219780219E-3</v>
      </c>
      <c r="AS289" s="72">
        <v>2.6315789473684292E-2</v>
      </c>
      <c r="AT289" s="72">
        <v>-6.1965811965811968E-2</v>
      </c>
      <c r="AU289" s="24"/>
      <c r="AV289" s="72">
        <v>-9.1116173120728838E-3</v>
      </c>
      <c r="AW289" s="72">
        <v>3.2183908045976928E-2</v>
      </c>
      <c r="AX289" s="72">
        <v>2.6726057906458767E-2</v>
      </c>
      <c r="AY289" s="72">
        <v>-5.2060737527114931E-2</v>
      </c>
      <c r="AZ289" s="24"/>
      <c r="BA289" s="72">
        <v>-1.3729977116704761E-2</v>
      </c>
      <c r="BB289" s="72">
        <v>1.6241299303944245E-2</v>
      </c>
      <c r="BC289" s="72">
        <v>2.5114155251141579E-2</v>
      </c>
      <c r="BD289" s="72">
        <v>-2.6726057906458767E-2</v>
      </c>
      <c r="BE289" s="24"/>
    </row>
    <row r="290" spans="1:57" ht="10.5" customHeight="1">
      <c r="A290" s="71" t="s">
        <v>8</v>
      </c>
      <c r="B290" s="24"/>
      <c r="C290" s="73"/>
      <c r="D290" s="73"/>
      <c r="E290" s="73"/>
      <c r="F290" s="73"/>
      <c r="G290" s="24">
        <f>G288/B288-1</f>
        <v>1.2084592145015005E-2</v>
      </c>
      <c r="H290" s="73"/>
      <c r="I290" s="73"/>
      <c r="J290" s="73"/>
      <c r="K290" s="73"/>
      <c r="L290" s="24">
        <f t="shared" ref="L290:R290" si="212">L288/G288-1</f>
        <v>5.8706467661691519E-2</v>
      </c>
      <c r="M290" s="73">
        <f t="shared" si="212"/>
        <v>8.5377821393523012E-2</v>
      </c>
      <c r="N290" s="73">
        <f t="shared" si="212"/>
        <v>8.5714285714285632E-2</v>
      </c>
      <c r="O290" s="73">
        <f t="shared" si="212"/>
        <v>5.2679382379654749E-2</v>
      </c>
      <c r="P290" s="73">
        <f t="shared" si="212"/>
        <v>5.4327808471454908E-2</v>
      </c>
      <c r="Q290" s="24">
        <f t="shared" si="212"/>
        <v>6.9078947368421018E-2</v>
      </c>
      <c r="R290" s="73">
        <f t="shared" si="212"/>
        <v>-0.14195298372513565</v>
      </c>
      <c r="S290" s="73">
        <f t="shared" ref="S290:Y290" si="213">S288/N288-1</f>
        <v>-0.18859649122807021</v>
      </c>
      <c r="T290" s="73">
        <f t="shared" si="213"/>
        <v>-0.21138912855910263</v>
      </c>
      <c r="U290" s="73">
        <f t="shared" si="213"/>
        <v>-0.25851528384279476</v>
      </c>
      <c r="V290" s="24">
        <f t="shared" si="213"/>
        <v>-0.20065934065934066</v>
      </c>
      <c r="W290" s="73">
        <f t="shared" si="213"/>
        <v>-0.12118018967334032</v>
      </c>
      <c r="X290" s="73">
        <f t="shared" si="213"/>
        <v>-7.351351351351354E-2</v>
      </c>
      <c r="Y290" s="73">
        <f t="shared" si="213"/>
        <v>-0.10722100656455147</v>
      </c>
      <c r="Z290" s="73">
        <f t="shared" ref="Z290:AE290" si="214">Z288/U288-1</f>
        <v>-0.11189634864546527</v>
      </c>
      <c r="AA290" s="24">
        <f t="shared" si="214"/>
        <v>-0.10338190816607096</v>
      </c>
      <c r="AB290" s="73">
        <f t="shared" si="214"/>
        <v>-0.14388489208633093</v>
      </c>
      <c r="AC290" s="73">
        <f t="shared" si="214"/>
        <v>-0.18786464410735126</v>
      </c>
      <c r="AD290" s="73">
        <f t="shared" si="214"/>
        <v>-0.12990196078431371</v>
      </c>
      <c r="AE290" s="73">
        <f t="shared" si="214"/>
        <v>-8.753315649867377E-2</v>
      </c>
      <c r="AF290" s="24">
        <v>-0.13891444342226311</v>
      </c>
      <c r="AG290" s="73">
        <v>-0.10784313725490191</v>
      </c>
      <c r="AH290" s="73">
        <v>-0.10632183908045978</v>
      </c>
      <c r="AI290" s="73">
        <v>-0.14084507042253525</v>
      </c>
      <c r="AJ290" s="73">
        <v>-0.15116279069767447</v>
      </c>
      <c r="AK290" s="24">
        <v>-0.12642450142450146</v>
      </c>
      <c r="AL290" s="73">
        <v>-0.21664050235478804</v>
      </c>
      <c r="AM290" s="73">
        <v>-0.19292604501607713</v>
      </c>
      <c r="AN290" s="73">
        <v>-0.14590163934426226</v>
      </c>
      <c r="AO290" s="73">
        <v>-0.18321917808219179</v>
      </c>
      <c r="AP290" s="24">
        <v>-0.18507949449653482</v>
      </c>
      <c r="AQ290" s="73">
        <v>-8.8176352705410799E-2</v>
      </c>
      <c r="AR290" s="73">
        <v>-9.1633466135458197E-2</v>
      </c>
      <c r="AS290" s="73">
        <v>-0.10172744721689064</v>
      </c>
      <c r="AT290" s="73">
        <v>-7.9664570230607912E-2</v>
      </c>
      <c r="AU290" s="24">
        <v>-9.0545272636318175E-2</v>
      </c>
      <c r="AV290" s="73">
        <v>-4.3956043956043911E-2</v>
      </c>
      <c r="AW290" s="73">
        <v>-1.5350877192982448E-2</v>
      </c>
      <c r="AX290" s="73">
        <v>-1.4957264957264904E-2</v>
      </c>
      <c r="AY290" s="73">
        <v>-4.5558086560364419E-3</v>
      </c>
      <c r="AZ290" s="24">
        <v>-1.980198019801982E-2</v>
      </c>
      <c r="BA290" s="73">
        <v>-9.1954022988506301E-3</v>
      </c>
      <c r="BB290" s="73">
        <v>-2.4498886414253906E-2</v>
      </c>
      <c r="BC290" s="73">
        <v>-2.6030368763557465E-2</v>
      </c>
      <c r="BD290" s="73">
        <v>0</v>
      </c>
      <c r="BE290" s="24">
        <v>-1.5151515151515138E-2</v>
      </c>
    </row>
    <row r="291" spans="1:57">
      <c r="A291" s="69" t="s">
        <v>64</v>
      </c>
      <c r="B291" s="37">
        <v>712</v>
      </c>
      <c r="C291" s="80" t="s">
        <v>52</v>
      </c>
      <c r="D291" s="80" t="s">
        <v>52</v>
      </c>
      <c r="E291" s="80" t="s">
        <v>52</v>
      </c>
      <c r="F291" s="80" t="s">
        <v>52</v>
      </c>
      <c r="G291" s="37">
        <v>693</v>
      </c>
      <c r="H291" s="70">
        <v>246</v>
      </c>
      <c r="I291" s="70">
        <v>296</v>
      </c>
      <c r="J291" s="70">
        <v>271</v>
      </c>
      <c r="K291" s="70">
        <f>L291-J291-I291-H291</f>
        <v>307</v>
      </c>
      <c r="L291" s="37">
        <v>1120</v>
      </c>
      <c r="M291" s="70">
        <v>287</v>
      </c>
      <c r="N291" s="70">
        <v>289</v>
      </c>
      <c r="O291" s="70">
        <v>283</v>
      </c>
      <c r="P291" s="70">
        <f>Q291-O291-N291-M291</f>
        <v>323</v>
      </c>
      <c r="Q291" s="37">
        <v>1182</v>
      </c>
      <c r="R291" s="70">
        <v>501</v>
      </c>
      <c r="S291" s="70">
        <v>513</v>
      </c>
      <c r="T291" s="70">
        <v>507</v>
      </c>
      <c r="U291" s="70">
        <f>V291-T291-S291-R291</f>
        <v>390</v>
      </c>
      <c r="V291" s="37">
        <v>1911</v>
      </c>
      <c r="W291" s="70">
        <v>410</v>
      </c>
      <c r="X291" s="70">
        <v>291</v>
      </c>
      <c r="Y291" s="70">
        <v>233</v>
      </c>
      <c r="Z291" s="70">
        <f>AA291-Y291-X291-W291</f>
        <v>273</v>
      </c>
      <c r="AA291" s="37">
        <v>1207</v>
      </c>
      <c r="AB291" s="70">
        <v>250</v>
      </c>
      <c r="AC291" s="70">
        <v>219</v>
      </c>
      <c r="AD291" s="70">
        <v>237</v>
      </c>
      <c r="AE291" s="70">
        <f>AF291-AD291-AC291-AB291</f>
        <v>295</v>
      </c>
      <c r="AF291" s="37">
        <v>1001</v>
      </c>
      <c r="AG291" s="70">
        <v>280</v>
      </c>
      <c r="AH291" s="70">
        <v>221</v>
      </c>
      <c r="AI291" s="70">
        <v>214</v>
      </c>
      <c r="AJ291" s="70">
        <v>251</v>
      </c>
      <c r="AK291" s="37">
        <v>966</v>
      </c>
      <c r="AL291" s="70">
        <v>228</v>
      </c>
      <c r="AM291" s="70">
        <v>219</v>
      </c>
      <c r="AN291" s="70">
        <v>208</v>
      </c>
      <c r="AO291" s="70">
        <v>236</v>
      </c>
      <c r="AP291" s="37">
        <v>891</v>
      </c>
      <c r="AQ291" s="70">
        <v>216</v>
      </c>
      <c r="AR291" s="70">
        <v>202</v>
      </c>
      <c r="AS291" s="70">
        <v>181</v>
      </c>
      <c r="AT291" s="70">
        <v>213</v>
      </c>
      <c r="AU291" s="37">
        <v>812</v>
      </c>
      <c r="AV291" s="70">
        <v>193</v>
      </c>
      <c r="AW291" s="70">
        <v>183</v>
      </c>
      <c r="AX291" s="70">
        <v>174</v>
      </c>
      <c r="AY291" s="70">
        <v>214</v>
      </c>
      <c r="AZ291" s="37">
        <v>764</v>
      </c>
      <c r="BA291" s="70">
        <v>188</v>
      </c>
      <c r="BB291" s="70">
        <v>164</v>
      </c>
      <c r="BC291" s="70">
        <v>155</v>
      </c>
      <c r="BD291" s="70">
        <v>181</v>
      </c>
      <c r="BE291" s="37">
        <v>688</v>
      </c>
    </row>
    <row r="292" spans="1:57" ht="9" customHeight="1">
      <c r="A292" s="71" t="s">
        <v>7</v>
      </c>
      <c r="B292" s="24"/>
      <c r="C292" s="72"/>
      <c r="D292" s="72"/>
      <c r="E292" s="72"/>
      <c r="F292" s="72"/>
      <c r="G292" s="24"/>
      <c r="H292" s="72"/>
      <c r="I292" s="72">
        <f>I291/H291-1</f>
        <v>0.20325203252032531</v>
      </c>
      <c r="J292" s="72">
        <f>J291/I291-1</f>
        <v>-8.4459459459459429E-2</v>
      </c>
      <c r="K292" s="72">
        <f>K291/J291-1</f>
        <v>0.13284132841328411</v>
      </c>
      <c r="L292" s="24"/>
      <c r="M292" s="72">
        <f>M291/K291-1</f>
        <v>-6.514657980456029E-2</v>
      </c>
      <c r="N292" s="72">
        <f>N291/M291-1</f>
        <v>6.9686411149825211E-3</v>
      </c>
      <c r="O292" s="72">
        <f>O291/N291-1</f>
        <v>-2.0761245674740469E-2</v>
      </c>
      <c r="P292" s="72">
        <f>P291/O291-1</f>
        <v>0.14134275618374548</v>
      </c>
      <c r="Q292" s="24"/>
      <c r="R292" s="72">
        <f>R291/P291-1</f>
        <v>0.55108359133126927</v>
      </c>
      <c r="S292" s="72">
        <f>S291/R291-1</f>
        <v>2.39520958083832E-2</v>
      </c>
      <c r="T292" s="72">
        <f>T291/S291-1</f>
        <v>-1.1695906432748537E-2</v>
      </c>
      <c r="U292" s="72">
        <f>U291/T291-1</f>
        <v>-0.23076923076923073</v>
      </c>
      <c r="V292" s="24"/>
      <c r="W292" s="72">
        <f>W291/U291-1</f>
        <v>5.1282051282051322E-2</v>
      </c>
      <c r="X292" s="72">
        <f>X291/W291-1</f>
        <v>-0.29024390243902443</v>
      </c>
      <c r="Y292" s="72">
        <f>Y291/X291-1</f>
        <v>-0.19931271477663226</v>
      </c>
      <c r="Z292" s="72">
        <f>Z291/Y291-1</f>
        <v>0.17167381974248919</v>
      </c>
      <c r="AA292" s="24"/>
      <c r="AB292" s="72">
        <f>AB291/Z291-1</f>
        <v>-8.4249084249084283E-2</v>
      </c>
      <c r="AC292" s="72">
        <f>AC291/AB291-1</f>
        <v>-0.124</v>
      </c>
      <c r="AD292" s="72">
        <f>AD291/AC291-1</f>
        <v>8.2191780821917915E-2</v>
      </c>
      <c r="AE292" s="72">
        <f>AE291/AD291-1</f>
        <v>0.24472573839662437</v>
      </c>
      <c r="AF292" s="24"/>
      <c r="AG292" s="72">
        <v>-5.084745762711862E-2</v>
      </c>
      <c r="AH292" s="72">
        <v>-0.21071428571428574</v>
      </c>
      <c r="AI292" s="72">
        <v>-3.1674208144796379E-2</v>
      </c>
      <c r="AJ292" s="72">
        <v>0.17289719626168232</v>
      </c>
      <c r="AK292" s="24"/>
      <c r="AL292" s="72">
        <v>-9.1633466135458197E-2</v>
      </c>
      <c r="AM292" s="72">
        <v>-3.9473684210526327E-2</v>
      </c>
      <c r="AN292" s="72">
        <v>-5.0228310502283158E-2</v>
      </c>
      <c r="AO292" s="72">
        <v>0.13461538461538458</v>
      </c>
      <c r="AP292" s="24"/>
      <c r="AQ292" s="72">
        <v>-8.4745762711864403E-2</v>
      </c>
      <c r="AR292" s="72">
        <v>-6.481481481481477E-2</v>
      </c>
      <c r="AS292" s="72">
        <v>-0.10396039603960394</v>
      </c>
      <c r="AT292" s="72">
        <v>0.17679558011049723</v>
      </c>
      <c r="AU292" s="24"/>
      <c r="AV292" s="72">
        <v>-9.3896713615023497E-2</v>
      </c>
      <c r="AW292" s="72">
        <v>-5.1813471502590636E-2</v>
      </c>
      <c r="AX292" s="72">
        <v>-4.9180327868852514E-2</v>
      </c>
      <c r="AY292" s="72">
        <v>0.22988505747126431</v>
      </c>
      <c r="AZ292" s="24"/>
      <c r="BA292" s="72">
        <v>-0.12149532710280375</v>
      </c>
      <c r="BB292" s="72">
        <v>-0.12765957446808507</v>
      </c>
      <c r="BC292" s="72">
        <v>-5.4878048780487854E-2</v>
      </c>
      <c r="BD292" s="72">
        <v>0.16774193548387095</v>
      </c>
      <c r="BE292" s="24"/>
    </row>
    <row r="293" spans="1:57" ht="11.25" customHeight="1">
      <c r="A293" s="71" t="s">
        <v>8</v>
      </c>
      <c r="B293" s="24"/>
      <c r="C293" s="73"/>
      <c r="D293" s="73"/>
      <c r="E293" s="73"/>
      <c r="F293" s="73"/>
      <c r="G293" s="24">
        <f>G291/B291-1</f>
        <v>-2.6685393258427004E-2</v>
      </c>
      <c r="H293" s="73"/>
      <c r="I293" s="73"/>
      <c r="J293" s="73"/>
      <c r="K293" s="73"/>
      <c r="L293" s="24">
        <f t="shared" ref="L293:R293" si="215">L291/G291-1</f>
        <v>0.61616161616161613</v>
      </c>
      <c r="M293" s="73">
        <f t="shared" si="215"/>
        <v>0.16666666666666674</v>
      </c>
      <c r="N293" s="73">
        <f t="shared" si="215"/>
        <v>-2.3648648648648685E-2</v>
      </c>
      <c r="O293" s="73">
        <f t="shared" si="215"/>
        <v>4.4280442804428111E-2</v>
      </c>
      <c r="P293" s="73">
        <f t="shared" si="215"/>
        <v>5.2117263843648232E-2</v>
      </c>
      <c r="Q293" s="24">
        <f t="shared" si="215"/>
        <v>5.5357142857142883E-2</v>
      </c>
      <c r="R293" s="73">
        <f t="shared" si="215"/>
        <v>0.74564459930313598</v>
      </c>
      <c r="S293" s="73">
        <f t="shared" ref="S293:Y293" si="216">S291/N291-1</f>
        <v>0.77508650519031153</v>
      </c>
      <c r="T293" s="73">
        <f t="shared" si="216"/>
        <v>0.79151943462897534</v>
      </c>
      <c r="U293" s="73">
        <f t="shared" si="216"/>
        <v>0.20743034055727549</v>
      </c>
      <c r="V293" s="24">
        <f t="shared" si="216"/>
        <v>0.61675126903553301</v>
      </c>
      <c r="W293" s="73">
        <f t="shared" si="216"/>
        <v>-0.18163672654690621</v>
      </c>
      <c r="X293" s="73">
        <f t="shared" si="216"/>
        <v>-0.43274853801169588</v>
      </c>
      <c r="Y293" s="73">
        <f t="shared" si="216"/>
        <v>-0.54043392504930965</v>
      </c>
      <c r="Z293" s="73">
        <f t="shared" ref="Z293:AE293" si="217">Z291/U291-1</f>
        <v>-0.30000000000000004</v>
      </c>
      <c r="AA293" s="24">
        <f t="shared" si="217"/>
        <v>-0.36839351125065412</v>
      </c>
      <c r="AB293" s="73">
        <f t="shared" si="217"/>
        <v>-0.3902439024390244</v>
      </c>
      <c r="AC293" s="73">
        <f t="shared" si="217"/>
        <v>-0.24742268041237114</v>
      </c>
      <c r="AD293" s="73">
        <f t="shared" si="217"/>
        <v>1.716738197424883E-2</v>
      </c>
      <c r="AE293" s="73">
        <f t="shared" si="217"/>
        <v>8.0586080586080522E-2</v>
      </c>
      <c r="AF293" s="24">
        <v>-0.17067108533554265</v>
      </c>
      <c r="AG293" s="73">
        <v>0.12000000000000011</v>
      </c>
      <c r="AH293" s="73">
        <v>9.1324200913243114E-3</v>
      </c>
      <c r="AI293" s="73">
        <v>-9.7046413502109741E-2</v>
      </c>
      <c r="AJ293" s="73">
        <v>-0.14915254237288134</v>
      </c>
      <c r="AK293" s="24">
        <v>-3.4965034965035002E-2</v>
      </c>
      <c r="AL293" s="73">
        <v>-0.18571428571428572</v>
      </c>
      <c r="AM293" s="73">
        <v>-9.0497737556560764E-3</v>
      </c>
      <c r="AN293" s="73">
        <v>-2.8037383177570097E-2</v>
      </c>
      <c r="AO293" s="73">
        <v>-5.9760956175298752E-2</v>
      </c>
      <c r="AP293" s="24">
        <v>-7.7639751552795011E-2</v>
      </c>
      <c r="AQ293" s="73">
        <v>-5.2631578947368474E-2</v>
      </c>
      <c r="AR293" s="73">
        <v>-7.7625570776255759E-2</v>
      </c>
      <c r="AS293" s="73">
        <v>-0.12980769230769229</v>
      </c>
      <c r="AT293" s="73">
        <v>-9.745762711864403E-2</v>
      </c>
      <c r="AU293" s="24">
        <v>-8.8664421997755372E-2</v>
      </c>
      <c r="AV293" s="73">
        <v>-0.10648148148148151</v>
      </c>
      <c r="AW293" s="73">
        <v>-9.4059405940594032E-2</v>
      </c>
      <c r="AX293" s="73">
        <v>-3.8674033149171283E-2</v>
      </c>
      <c r="AY293" s="73">
        <v>4.6948356807512415E-3</v>
      </c>
      <c r="AZ293" s="24">
        <v>-5.9113300492610876E-2</v>
      </c>
      <c r="BA293" s="73">
        <v>-2.5906735751295318E-2</v>
      </c>
      <c r="BB293" s="73">
        <v>-0.10382513661202186</v>
      </c>
      <c r="BC293" s="73">
        <v>-0.10919540229885061</v>
      </c>
      <c r="BD293" s="73">
        <v>-0.15420560747663548</v>
      </c>
      <c r="BE293" s="24">
        <v>-9.9476439790575966E-2</v>
      </c>
    </row>
    <row r="294" spans="1:57" ht="3" customHeight="1">
      <c r="A294" s="40"/>
      <c r="B294" s="41"/>
      <c r="C294" s="42"/>
      <c r="D294" s="42"/>
      <c r="E294" s="42"/>
      <c r="F294" s="42"/>
      <c r="G294" s="41"/>
      <c r="H294" s="42"/>
      <c r="I294" s="42"/>
      <c r="J294" s="42"/>
      <c r="K294" s="42"/>
      <c r="L294" s="41"/>
      <c r="M294" s="42"/>
      <c r="N294" s="42"/>
      <c r="O294" s="42"/>
      <c r="P294" s="42"/>
      <c r="Q294" s="41"/>
      <c r="R294" s="42"/>
      <c r="S294" s="42"/>
      <c r="T294" s="42"/>
      <c r="U294" s="42"/>
      <c r="V294" s="41"/>
      <c r="W294" s="42"/>
      <c r="X294" s="42"/>
      <c r="Y294" s="42"/>
      <c r="Z294" s="42"/>
      <c r="AA294" s="41"/>
      <c r="AB294" s="42"/>
      <c r="AC294" s="42"/>
      <c r="AD294" s="42"/>
      <c r="AE294" s="42"/>
      <c r="AF294" s="41"/>
      <c r="AG294" s="42"/>
      <c r="AH294" s="42"/>
      <c r="AI294" s="42"/>
      <c r="AJ294" s="42"/>
      <c r="AK294" s="41"/>
      <c r="AL294" s="42"/>
      <c r="AM294" s="42"/>
      <c r="AN294" s="42"/>
      <c r="AO294" s="42"/>
      <c r="AP294" s="41"/>
      <c r="AQ294" s="42"/>
      <c r="AR294" s="42"/>
      <c r="AS294" s="42"/>
      <c r="AT294" s="42"/>
      <c r="AU294" s="41"/>
      <c r="AV294" s="42"/>
      <c r="AW294" s="42"/>
      <c r="AX294" s="42"/>
      <c r="AY294" s="42"/>
      <c r="AZ294" s="41"/>
      <c r="BA294" s="42"/>
      <c r="BB294" s="42"/>
      <c r="BC294" s="42"/>
      <c r="BD294" s="42"/>
      <c r="BE294" s="41"/>
    </row>
    <row r="295" spans="1:57">
      <c r="A295" s="69" t="s">
        <v>140</v>
      </c>
      <c r="B295" s="123" t="s">
        <v>44</v>
      </c>
      <c r="C295" s="80" t="s">
        <v>52</v>
      </c>
      <c r="D295" s="80" t="s">
        <v>52</v>
      </c>
      <c r="E295" s="80" t="s">
        <v>52</v>
      </c>
      <c r="F295" s="80" t="s">
        <v>52</v>
      </c>
      <c r="G295" s="37">
        <v>2437</v>
      </c>
      <c r="H295" s="80" t="s">
        <v>52</v>
      </c>
      <c r="I295" s="80" t="s">
        <v>52</v>
      </c>
      <c r="J295" s="80" t="s">
        <v>52</v>
      </c>
      <c r="K295" s="80" t="s">
        <v>52</v>
      </c>
      <c r="L295" s="37">
        <v>2751</v>
      </c>
      <c r="M295" s="80" t="s">
        <v>52</v>
      </c>
      <c r="N295" s="80" t="s">
        <v>52</v>
      </c>
      <c r="O295" s="80" t="s">
        <v>52</v>
      </c>
      <c r="P295" s="80" t="s">
        <v>52</v>
      </c>
      <c r="Q295" s="37">
        <v>2899</v>
      </c>
      <c r="R295" s="80" t="s">
        <v>52</v>
      </c>
      <c r="S295" s="80" t="s">
        <v>52</v>
      </c>
      <c r="T295" s="80" t="s">
        <v>52</v>
      </c>
      <c r="U295" s="80" t="s">
        <v>52</v>
      </c>
      <c r="V295" s="37">
        <v>2985</v>
      </c>
      <c r="W295" s="80" t="s">
        <v>52</v>
      </c>
      <c r="X295" s="80" t="s">
        <v>52</v>
      </c>
      <c r="Y295" s="80" t="s">
        <v>52</v>
      </c>
      <c r="Z295" s="80" t="s">
        <v>52</v>
      </c>
      <c r="AA295" s="37">
        <v>2461</v>
      </c>
      <c r="AB295" s="80" t="s">
        <v>52</v>
      </c>
      <c r="AC295" s="80" t="s">
        <v>52</v>
      </c>
      <c r="AD295" s="80" t="s">
        <v>52</v>
      </c>
      <c r="AE295" s="80" t="s">
        <v>52</v>
      </c>
      <c r="AF295" s="37">
        <v>2114</v>
      </c>
      <c r="AG295" s="80" t="s">
        <v>52</v>
      </c>
      <c r="AH295" s="80" t="s">
        <v>52</v>
      </c>
      <c r="AI295" s="80" t="s">
        <v>52</v>
      </c>
      <c r="AJ295" s="80" t="s">
        <v>52</v>
      </c>
      <c r="AK295" s="37">
        <v>1930</v>
      </c>
      <c r="AL295" s="80" t="s">
        <v>52</v>
      </c>
      <c r="AM295" s="80" t="s">
        <v>52</v>
      </c>
      <c r="AN295" s="80" t="s">
        <v>52</v>
      </c>
      <c r="AO295" s="80" t="s">
        <v>52</v>
      </c>
      <c r="AP295" s="37">
        <v>1750</v>
      </c>
      <c r="AQ295" s="80" t="s">
        <v>52</v>
      </c>
      <c r="AR295" s="80" t="s">
        <v>52</v>
      </c>
      <c r="AS295" s="80" t="s">
        <v>52</v>
      </c>
      <c r="AT295" s="80" t="s">
        <v>52</v>
      </c>
      <c r="AU295" s="37">
        <v>1616</v>
      </c>
      <c r="AV295" s="80" t="s">
        <v>52</v>
      </c>
      <c r="AW295" s="80" t="s">
        <v>52</v>
      </c>
      <c r="AX295" s="80" t="s">
        <v>52</v>
      </c>
      <c r="AY295" s="80" t="s">
        <v>52</v>
      </c>
      <c r="AZ295" s="37">
        <v>1541</v>
      </c>
      <c r="BA295" s="80" t="s">
        <v>52</v>
      </c>
      <c r="BB295" s="80" t="s">
        <v>52</v>
      </c>
      <c r="BC295" s="80" t="s">
        <v>52</v>
      </c>
      <c r="BD295" s="80" t="s">
        <v>52</v>
      </c>
      <c r="BE295" s="37">
        <v>1415</v>
      </c>
    </row>
    <row r="296" spans="1:57" ht="9.75" customHeight="1">
      <c r="A296" s="71" t="s">
        <v>139</v>
      </c>
      <c r="B296" s="24"/>
      <c r="C296" s="73"/>
      <c r="D296" s="73"/>
      <c r="E296" s="73"/>
      <c r="F296" s="73"/>
      <c r="G296" s="24">
        <f>G295/G285</f>
        <v>0.51708041587099507</v>
      </c>
      <c r="H296" s="73"/>
      <c r="I296" s="73"/>
      <c r="J296" s="73"/>
      <c r="K296" s="73"/>
      <c r="L296" s="24">
        <f>L295/L285</f>
        <v>0.51171875</v>
      </c>
      <c r="M296" s="73"/>
      <c r="N296" s="73"/>
      <c r="O296" s="73"/>
      <c r="P296" s="73"/>
      <c r="Q296" s="24">
        <f>Q295/Q285</f>
        <v>0.50575715282623868</v>
      </c>
      <c r="R296" s="73"/>
      <c r="S296" s="73"/>
      <c r="T296" s="73"/>
      <c r="U296" s="73"/>
      <c r="V296" s="24">
        <f>V295/V285</f>
        <v>0.53803172314347514</v>
      </c>
      <c r="W296" s="73"/>
      <c r="X296" s="73"/>
      <c r="Y296" s="73"/>
      <c r="Z296" s="73"/>
      <c r="AA296" s="24">
        <f>AA295/AA285</f>
        <v>0.55080572963294538</v>
      </c>
      <c r="AB296" s="73"/>
      <c r="AC296" s="73"/>
      <c r="AD296" s="73"/>
      <c r="AE296" s="73"/>
      <c r="AF296" s="24">
        <v>0.55500131268049357</v>
      </c>
      <c r="AG296" s="73"/>
      <c r="AH296" s="73"/>
      <c r="AI296" s="73"/>
      <c r="AJ296" s="73"/>
      <c r="AK296" s="24">
        <v>0.56449254167885343</v>
      </c>
      <c r="AL296" s="73"/>
      <c r="AM296" s="73"/>
      <c r="AN296" s="73"/>
      <c r="AO296" s="73"/>
      <c r="AP296" s="24">
        <v>0.60553633217993075</v>
      </c>
      <c r="AQ296" s="73"/>
      <c r="AR296" s="73"/>
      <c r="AS296" s="73"/>
      <c r="AT296" s="73"/>
      <c r="AU296" s="24">
        <v>0.61444866920152086</v>
      </c>
      <c r="AV296" s="73"/>
      <c r="AW296" s="73"/>
      <c r="AX296" s="73"/>
      <c r="AY296" s="73"/>
      <c r="AZ296" s="24">
        <v>0.60526315789473684</v>
      </c>
      <c r="BA296" s="73"/>
      <c r="BB296" s="73"/>
      <c r="BC296" s="73"/>
      <c r="BD296" s="73"/>
      <c r="BE296" s="24">
        <v>0.57920589439214076</v>
      </c>
    </row>
    <row r="297" spans="1:57" ht="12" customHeight="1">
      <c r="A297" s="69" t="s">
        <v>138</v>
      </c>
      <c r="B297" s="123" t="s">
        <v>44</v>
      </c>
      <c r="C297" s="80" t="s">
        <v>52</v>
      </c>
      <c r="D297" s="80" t="s">
        <v>52</v>
      </c>
      <c r="E297" s="80" t="s">
        <v>52</v>
      </c>
      <c r="F297" s="80" t="s">
        <v>52</v>
      </c>
      <c r="G297" s="37">
        <v>2276</v>
      </c>
      <c r="H297" s="80" t="s">
        <v>52</v>
      </c>
      <c r="I297" s="80" t="s">
        <v>52</v>
      </c>
      <c r="J297" s="80" t="s">
        <v>52</v>
      </c>
      <c r="K297" s="80" t="s">
        <v>52</v>
      </c>
      <c r="L297" s="37">
        <v>2625</v>
      </c>
      <c r="M297" s="80" t="s">
        <v>52</v>
      </c>
      <c r="N297" s="80" t="s">
        <v>52</v>
      </c>
      <c r="O297" s="80" t="s">
        <v>52</v>
      </c>
      <c r="P297" s="80" t="s">
        <v>52</v>
      </c>
      <c r="Q297" s="37">
        <v>2833</v>
      </c>
      <c r="R297" s="80" t="s">
        <v>52</v>
      </c>
      <c r="S297" s="80" t="s">
        <v>52</v>
      </c>
      <c r="T297" s="80" t="s">
        <v>52</v>
      </c>
      <c r="U297" s="80" t="s">
        <v>52</v>
      </c>
      <c r="V297" s="37">
        <v>2563</v>
      </c>
      <c r="W297" s="80" t="s">
        <v>52</v>
      </c>
      <c r="X297" s="80" t="s">
        <v>52</v>
      </c>
      <c r="Y297" s="80" t="s">
        <v>52</v>
      </c>
      <c r="Z297" s="80" t="s">
        <v>52</v>
      </c>
      <c r="AA297" s="37">
        <v>2007</v>
      </c>
      <c r="AB297" s="80" t="s">
        <v>52</v>
      </c>
      <c r="AC297" s="80" t="s">
        <v>52</v>
      </c>
      <c r="AD297" s="80" t="s">
        <v>52</v>
      </c>
      <c r="AE297" s="80" t="s">
        <v>52</v>
      </c>
      <c r="AF297" s="37">
        <v>1695</v>
      </c>
      <c r="AG297" s="80" t="s">
        <v>52</v>
      </c>
      <c r="AH297" s="80" t="s">
        <v>52</v>
      </c>
      <c r="AI297" s="80" t="s">
        <v>52</v>
      </c>
      <c r="AJ297" s="80" t="s">
        <v>52</v>
      </c>
      <c r="AK297" s="37">
        <v>1490</v>
      </c>
      <c r="AL297" s="80" t="s">
        <v>52</v>
      </c>
      <c r="AM297" s="80" t="s">
        <v>52</v>
      </c>
      <c r="AN297" s="80" t="s">
        <v>52</v>
      </c>
      <c r="AO297" s="80" t="s">
        <v>52</v>
      </c>
      <c r="AP297" s="37">
        <v>1140</v>
      </c>
      <c r="AQ297" s="80" t="s">
        <v>52</v>
      </c>
      <c r="AR297" s="80" t="s">
        <v>52</v>
      </c>
      <c r="AS297" s="80" t="s">
        <v>52</v>
      </c>
      <c r="AT297" s="80" t="s">
        <v>52</v>
      </c>
      <c r="AU297" s="37">
        <v>1015</v>
      </c>
      <c r="AV297" s="80" t="s">
        <v>52</v>
      </c>
      <c r="AW297" s="80" t="s">
        <v>52</v>
      </c>
      <c r="AX297" s="80" t="s">
        <v>52</v>
      </c>
      <c r="AY297" s="80" t="s">
        <v>52</v>
      </c>
      <c r="AZ297" s="37">
        <v>1005</v>
      </c>
      <c r="BA297" s="80" t="s">
        <v>52</v>
      </c>
      <c r="BB297" s="80" t="s">
        <v>52</v>
      </c>
      <c r="BC297" s="80" t="s">
        <v>52</v>
      </c>
      <c r="BD297" s="80" t="s">
        <v>52</v>
      </c>
      <c r="BE297" s="37">
        <v>1028</v>
      </c>
    </row>
    <row r="298" spans="1:57" ht="9" customHeight="1">
      <c r="A298" s="71" t="s">
        <v>139</v>
      </c>
      <c r="B298" s="24"/>
      <c r="C298" s="73"/>
      <c r="D298" s="73"/>
      <c r="E298" s="73"/>
      <c r="F298" s="73"/>
      <c r="G298" s="24">
        <f>G297/G285</f>
        <v>0.48291958412900488</v>
      </c>
      <c r="H298" s="73"/>
      <c r="I298" s="73"/>
      <c r="J298" s="73"/>
      <c r="K298" s="73"/>
      <c r="L298" s="24">
        <f>L297/L285</f>
        <v>0.48828125</v>
      </c>
      <c r="M298" s="73"/>
      <c r="N298" s="73"/>
      <c r="O298" s="73"/>
      <c r="P298" s="73"/>
      <c r="Q298" s="24">
        <f>Q297/Q285</f>
        <v>0.49424284717376132</v>
      </c>
      <c r="R298" s="73"/>
      <c r="S298" s="73"/>
      <c r="T298" s="73"/>
      <c r="U298" s="73"/>
      <c r="V298" s="24">
        <f>V297/V285</f>
        <v>0.46196827685652486</v>
      </c>
      <c r="W298" s="73"/>
      <c r="X298" s="73"/>
      <c r="Y298" s="73"/>
      <c r="Z298" s="73"/>
      <c r="AA298" s="24">
        <f>AA297/AA285</f>
        <v>0.44919427036705462</v>
      </c>
      <c r="AB298" s="73"/>
      <c r="AC298" s="73"/>
      <c r="AD298" s="73"/>
      <c r="AE298" s="73"/>
      <c r="AF298" s="24">
        <v>0.44499868731950643</v>
      </c>
      <c r="AG298" s="73"/>
      <c r="AH298" s="73"/>
      <c r="AI298" s="73"/>
      <c r="AJ298" s="73"/>
      <c r="AK298" s="24">
        <v>0.43579994150336354</v>
      </c>
      <c r="AL298" s="73"/>
      <c r="AM298" s="73"/>
      <c r="AN298" s="73"/>
      <c r="AO298" s="73"/>
      <c r="AP298" s="24">
        <v>0.3944636678200692</v>
      </c>
      <c r="AQ298" s="73"/>
      <c r="AR298" s="73"/>
      <c r="AS298" s="73"/>
      <c r="AT298" s="73"/>
      <c r="AU298" s="24">
        <v>0.38593155893536124</v>
      </c>
      <c r="AV298" s="73"/>
      <c r="AW298" s="73"/>
      <c r="AX298" s="73"/>
      <c r="AY298" s="73"/>
      <c r="AZ298" s="24">
        <v>0.39473684210526316</v>
      </c>
      <c r="BA298" s="73"/>
      <c r="BB298" s="73"/>
      <c r="BC298" s="73"/>
      <c r="BD298" s="73"/>
      <c r="BE298" s="24">
        <v>0.42079410560785918</v>
      </c>
    </row>
    <row r="299" spans="1:57">
      <c r="A299" s="40" t="s">
        <v>29</v>
      </c>
      <c r="B299" s="41"/>
      <c r="C299" s="42"/>
      <c r="D299" s="42"/>
      <c r="E299" s="42"/>
      <c r="F299" s="42"/>
      <c r="G299" s="41"/>
      <c r="H299" s="42"/>
      <c r="I299" s="42"/>
      <c r="J299" s="42"/>
      <c r="K299" s="42"/>
      <c r="L299" s="41"/>
      <c r="M299" s="42"/>
      <c r="N299" s="42"/>
      <c r="O299" s="42"/>
      <c r="P299" s="42"/>
      <c r="Q299" s="41"/>
      <c r="R299" s="42"/>
      <c r="S299" s="42"/>
      <c r="T299" s="42"/>
      <c r="U299" s="42"/>
      <c r="V299" s="41"/>
      <c r="W299" s="42"/>
      <c r="X299" s="42"/>
      <c r="Y299" s="42"/>
      <c r="Z299" s="42"/>
      <c r="AA299" s="41"/>
      <c r="AB299" s="42"/>
      <c r="AC299" s="42"/>
      <c r="AD299" s="42"/>
      <c r="AE299" s="42"/>
      <c r="AF299" s="41"/>
      <c r="AG299" s="42"/>
      <c r="AH299" s="42"/>
      <c r="AI299" s="42"/>
      <c r="AJ299" s="42"/>
      <c r="AK299" s="41"/>
      <c r="AL299" s="42"/>
      <c r="AM299" s="42"/>
      <c r="AN299" s="42"/>
      <c r="AO299" s="42"/>
      <c r="AP299" s="41"/>
      <c r="AQ299" s="42"/>
      <c r="AR299" s="42"/>
      <c r="AS299" s="42"/>
      <c r="AT299" s="42"/>
      <c r="AU299" s="41"/>
      <c r="AV299" s="42"/>
      <c r="AW299" s="42"/>
      <c r="AX299" s="42"/>
      <c r="AY299" s="42"/>
      <c r="AZ299" s="41"/>
      <c r="BA299" s="42"/>
      <c r="BB299" s="42"/>
      <c r="BC299" s="42"/>
      <c r="BD299" s="42"/>
      <c r="BE299" s="41"/>
    </row>
    <row r="300" spans="1:57" hidden="1">
      <c r="A300" s="69" t="s">
        <v>83</v>
      </c>
      <c r="B300" s="37">
        <v>3347</v>
      </c>
      <c r="C300" s="80" t="s">
        <v>52</v>
      </c>
      <c r="D300" s="80" t="s">
        <v>52</v>
      </c>
      <c r="E300" s="80" t="s">
        <v>52</v>
      </c>
      <c r="F300" s="80" t="s">
        <v>52</v>
      </c>
      <c r="G300" s="37">
        <v>3235</v>
      </c>
      <c r="H300" s="70">
        <v>818</v>
      </c>
      <c r="I300" s="70">
        <v>899</v>
      </c>
      <c r="J300" s="70">
        <v>910</v>
      </c>
      <c r="K300" s="70">
        <f>L300-J300-I300-H300</f>
        <v>965</v>
      </c>
      <c r="L300" s="37">
        <v>3592</v>
      </c>
      <c r="M300" s="70">
        <v>923</v>
      </c>
      <c r="N300" s="70">
        <v>920</v>
      </c>
      <c r="O300" s="70">
        <v>941</v>
      </c>
      <c r="P300" s="70">
        <f>Q300-O300-N300-M300</f>
        <v>970</v>
      </c>
      <c r="Q300" s="37">
        <v>3754</v>
      </c>
      <c r="R300" s="70">
        <v>902</v>
      </c>
      <c r="S300" s="70">
        <v>927</v>
      </c>
      <c r="T300" s="70">
        <v>926</v>
      </c>
      <c r="U300" s="70">
        <f>V300-T300-S300-R300</f>
        <v>832</v>
      </c>
      <c r="V300" s="37">
        <v>3587</v>
      </c>
      <c r="W300" s="70">
        <v>831</v>
      </c>
      <c r="X300" s="70">
        <v>752</v>
      </c>
      <c r="Y300" s="70">
        <v>716</v>
      </c>
      <c r="Z300" s="70">
        <f>AA300-Y300-X300-W300</f>
        <v>741</v>
      </c>
      <c r="AA300" s="37">
        <v>3040</v>
      </c>
      <c r="AB300" s="70">
        <v>676</v>
      </c>
      <c r="AC300" s="70">
        <v>627</v>
      </c>
      <c r="AD300" s="70">
        <v>675</v>
      </c>
      <c r="AE300" s="70">
        <f>AF300-AD300-AC300-AB300</f>
        <v>733</v>
      </c>
      <c r="AF300" s="37">
        <v>2711</v>
      </c>
      <c r="AG300" s="70">
        <v>681</v>
      </c>
      <c r="AH300" s="70">
        <v>612</v>
      </c>
      <c r="AI300" s="70">
        <v>601</v>
      </c>
      <c r="AJ300" s="70">
        <v>643</v>
      </c>
      <c r="AK300" s="37">
        <v>2537</v>
      </c>
      <c r="AL300" s="70">
        <v>607</v>
      </c>
      <c r="AM300" s="70">
        <v>588</v>
      </c>
      <c r="AN300" s="70">
        <v>586</v>
      </c>
      <c r="AO300" s="70">
        <v>602</v>
      </c>
      <c r="AP300" s="37">
        <v>2383</v>
      </c>
      <c r="AQ300" s="70">
        <v>579</v>
      </c>
      <c r="AR300" s="70">
        <v>560</v>
      </c>
      <c r="AS300" s="70">
        <v>536</v>
      </c>
      <c r="AT300" s="70">
        <v>573</v>
      </c>
      <c r="AU300" s="37">
        <v>2248</v>
      </c>
      <c r="AV300" s="70">
        <v>553</v>
      </c>
      <c r="AW300" s="70">
        <v>529</v>
      </c>
      <c r="AX300" s="70">
        <v>534</v>
      </c>
      <c r="AY300" s="70">
        <v>555</v>
      </c>
      <c r="AZ300" s="37">
        <v>2171</v>
      </c>
      <c r="BA300" s="70">
        <v>531</v>
      </c>
      <c r="BB300" s="70">
        <v>523</v>
      </c>
      <c r="BC300" s="70">
        <v>521</v>
      </c>
      <c r="BD300" s="70"/>
      <c r="BE300" s="37"/>
    </row>
    <row r="301" spans="1:57" ht="9.75" hidden="1" customHeight="1">
      <c r="A301" s="71" t="s">
        <v>7</v>
      </c>
      <c r="B301" s="24"/>
      <c r="C301" s="72"/>
      <c r="D301" s="72"/>
      <c r="E301" s="72"/>
      <c r="F301" s="72"/>
      <c r="G301" s="24"/>
      <c r="H301" s="72"/>
      <c r="I301" s="72">
        <f>I300/H300-1</f>
        <v>9.9022004889975479E-2</v>
      </c>
      <c r="J301" s="72">
        <f>J300/I300-1</f>
        <v>1.2235817575083408E-2</v>
      </c>
      <c r="K301" s="72">
        <f>K300/J300-1</f>
        <v>6.0439560439560447E-2</v>
      </c>
      <c r="L301" s="24"/>
      <c r="M301" s="72">
        <f>M300/K300-1</f>
        <v>-4.3523316062176187E-2</v>
      </c>
      <c r="N301" s="72">
        <f>N300/M300-1</f>
        <v>-3.25027085590468E-3</v>
      </c>
      <c r="O301" s="72">
        <f>O300/N300-1</f>
        <v>2.2826086956521774E-2</v>
      </c>
      <c r="P301" s="72">
        <f>P300/O300-1</f>
        <v>3.0818278427205081E-2</v>
      </c>
      <c r="Q301" s="24"/>
      <c r="R301" s="72">
        <f>R300/P300-1</f>
        <v>-7.0103092783505128E-2</v>
      </c>
      <c r="S301" s="72">
        <f>S300/R300-1</f>
        <v>2.7716186252771724E-2</v>
      </c>
      <c r="T301" s="72">
        <f>T300/S300-1</f>
        <v>-1.0787486515642097E-3</v>
      </c>
      <c r="U301" s="72">
        <f>U300/T300-1</f>
        <v>-0.10151187904967607</v>
      </c>
      <c r="V301" s="24"/>
      <c r="W301" s="72">
        <f>W300/U300-1</f>
        <v>-1.2019230769231282E-3</v>
      </c>
      <c r="X301" s="72">
        <f>X300/W300-1</f>
        <v>-9.5066185318892882E-2</v>
      </c>
      <c r="Y301" s="72">
        <f>Y300/X300-1</f>
        <v>-4.7872340425531901E-2</v>
      </c>
      <c r="Z301" s="72">
        <f>Z300/Y300-1</f>
        <v>3.4916201117318524E-2</v>
      </c>
      <c r="AA301" s="24"/>
      <c r="AB301" s="72">
        <f>AB300/Z300-1</f>
        <v>-8.7719298245614086E-2</v>
      </c>
      <c r="AC301" s="72">
        <f>AC300/AB300-1</f>
        <v>-7.2485207100591698E-2</v>
      </c>
      <c r="AD301" s="72">
        <f>AD300/AC300-1</f>
        <v>7.6555023923444931E-2</v>
      </c>
      <c r="AE301" s="72">
        <f>AE300/AD300-1</f>
        <v>8.5925925925925961E-2</v>
      </c>
      <c r="AF301" s="24"/>
      <c r="AG301" s="72">
        <v>-7.0941336971350633E-2</v>
      </c>
      <c r="AH301" s="72">
        <v>-0.10132158590308371</v>
      </c>
      <c r="AI301" s="72">
        <v>-1.7973856209150374E-2</v>
      </c>
      <c r="AJ301" s="72">
        <v>6.9883527454242866E-2</v>
      </c>
      <c r="AK301" s="24"/>
      <c r="AL301" s="72">
        <v>-5.5987558320373276E-2</v>
      </c>
      <c r="AM301" s="72">
        <v>-3.1301482701812211E-2</v>
      </c>
      <c r="AN301" s="72">
        <v>-3.4013605442176909E-3</v>
      </c>
      <c r="AO301" s="72">
        <v>2.7303754266211566E-2</v>
      </c>
      <c r="AP301" s="24"/>
      <c r="AQ301" s="72">
        <v>-3.8205980066445155E-2</v>
      </c>
      <c r="AR301" s="72">
        <v>-3.2815198618307395E-2</v>
      </c>
      <c r="AS301" s="72">
        <v>-4.2857142857142816E-2</v>
      </c>
      <c r="AT301" s="72">
        <v>6.9029850746268551E-2</v>
      </c>
      <c r="AU301" s="24"/>
      <c r="AV301" s="72">
        <v>-3.4904013961605584E-2</v>
      </c>
      <c r="AW301" s="72">
        <v>-4.339963833634719E-2</v>
      </c>
      <c r="AX301" s="72">
        <v>9.4517958412099201E-3</v>
      </c>
      <c r="AY301" s="72">
        <v>3.9325842696629199E-2</v>
      </c>
      <c r="AZ301" s="24"/>
      <c r="BA301" s="72">
        <v>-4.3243243243243246E-2</v>
      </c>
      <c r="BB301" s="72">
        <v>-1.5065913370998163E-2</v>
      </c>
      <c r="BC301" s="72">
        <v>-3.8240917782026429E-3</v>
      </c>
      <c r="BD301" s="72"/>
      <c r="BE301" s="24"/>
    </row>
    <row r="302" spans="1:57" ht="9.75" hidden="1" customHeight="1">
      <c r="A302" s="71" t="s">
        <v>8</v>
      </c>
      <c r="B302" s="24"/>
      <c r="C302" s="73"/>
      <c r="D302" s="73"/>
      <c r="E302" s="73"/>
      <c r="F302" s="73"/>
      <c r="G302" s="24">
        <f>G300/B300-1</f>
        <v>-3.3462802509710232E-2</v>
      </c>
      <c r="H302" s="73"/>
      <c r="I302" s="73"/>
      <c r="J302" s="73"/>
      <c r="K302" s="73"/>
      <c r="L302" s="24">
        <f t="shared" ref="L302:AD302" si="218">L300/G300-1</f>
        <v>0.11035548686244212</v>
      </c>
      <c r="M302" s="73">
        <f t="shared" si="218"/>
        <v>0.12836185819070911</v>
      </c>
      <c r="N302" s="73">
        <f t="shared" si="218"/>
        <v>2.3359288097886566E-2</v>
      </c>
      <c r="O302" s="73">
        <f t="shared" si="218"/>
        <v>3.4065934065934167E-2</v>
      </c>
      <c r="P302" s="73">
        <f t="shared" si="218"/>
        <v>5.1813471502590858E-3</v>
      </c>
      <c r="Q302" s="24">
        <f t="shared" si="218"/>
        <v>4.5100222717149308E-2</v>
      </c>
      <c r="R302" s="73">
        <f t="shared" si="218"/>
        <v>-2.2751895991332649E-2</v>
      </c>
      <c r="S302" s="73">
        <f t="shared" si="218"/>
        <v>7.6086956521739246E-3</v>
      </c>
      <c r="T302" s="73">
        <f t="shared" si="218"/>
        <v>-1.5940488841657774E-2</v>
      </c>
      <c r="U302" s="73">
        <f t="shared" si="218"/>
        <v>-0.14226804123711345</v>
      </c>
      <c r="V302" s="24">
        <f t="shared" si="218"/>
        <v>-4.4485881726158749E-2</v>
      </c>
      <c r="W302" s="73">
        <f t="shared" si="218"/>
        <v>-7.8713968957871416E-2</v>
      </c>
      <c r="X302" s="73">
        <f t="shared" si="218"/>
        <v>-0.18878101402373249</v>
      </c>
      <c r="Y302" s="73">
        <f t="shared" si="218"/>
        <v>-0.22678185745140389</v>
      </c>
      <c r="Z302" s="73">
        <f t="shared" si="218"/>
        <v>-0.109375</v>
      </c>
      <c r="AA302" s="24">
        <f t="shared" si="218"/>
        <v>-0.15249512127125731</v>
      </c>
      <c r="AB302" s="73">
        <f t="shared" si="218"/>
        <v>-0.18652226233453673</v>
      </c>
      <c r="AC302" s="73">
        <f t="shared" si="218"/>
        <v>-0.16622340425531912</v>
      </c>
      <c r="AD302" s="73">
        <f t="shared" si="218"/>
        <v>-5.7262569832402188E-2</v>
      </c>
      <c r="AE302" s="73">
        <f t="shared" ref="AE302" si="219">AE300/Z300-1</f>
        <v>-1.0796221322537103E-2</v>
      </c>
      <c r="AF302" s="24">
        <v>-0.10822368421052631</v>
      </c>
      <c r="AG302" s="73">
        <v>7.3964497041421051E-3</v>
      </c>
      <c r="AH302" s="73">
        <v>-2.3923444976076569E-2</v>
      </c>
      <c r="AI302" s="73">
        <v>-0.10962962962962963</v>
      </c>
      <c r="AJ302" s="73">
        <v>-0.12278308321964526</v>
      </c>
      <c r="AK302" s="24">
        <v>-6.4182958317963834E-2</v>
      </c>
      <c r="AL302" s="73">
        <v>-0.10866372980910421</v>
      </c>
      <c r="AM302" s="73">
        <v>-3.9215686274509776E-2</v>
      </c>
      <c r="AN302" s="73">
        <v>-2.4958402662229595E-2</v>
      </c>
      <c r="AO302" s="73">
        <v>-6.3763608087091805E-2</v>
      </c>
      <c r="AP302" s="24">
        <v>-6.0701616081986653E-2</v>
      </c>
      <c r="AQ302" s="73">
        <v>-4.6128500823723217E-2</v>
      </c>
      <c r="AR302" s="73">
        <v>-4.7619047619047672E-2</v>
      </c>
      <c r="AS302" s="73">
        <v>-8.5324232081911311E-2</v>
      </c>
      <c r="AT302" s="73">
        <v>-4.8172757475083094E-2</v>
      </c>
      <c r="AU302" s="24">
        <v>-5.6651279899286644E-2</v>
      </c>
      <c r="AV302" s="73">
        <v>-4.4905008635578558E-2</v>
      </c>
      <c r="AW302" s="73">
        <v>-5.5357142857142883E-2</v>
      </c>
      <c r="AX302" s="73">
        <v>-3.7313432835820448E-3</v>
      </c>
      <c r="AY302" s="73">
        <v>-3.1413612565445059E-2</v>
      </c>
      <c r="AZ302" s="24">
        <v>-3.4252669039145922E-2</v>
      </c>
      <c r="BA302" s="73">
        <v>-3.9783001808318286E-2</v>
      </c>
      <c r="BB302" s="73">
        <v>-1.1342155009451793E-2</v>
      </c>
      <c r="BC302" s="73">
        <v>-2.4344569288389462E-2</v>
      </c>
      <c r="BD302" s="73"/>
      <c r="BE302" s="24">
        <v>-1</v>
      </c>
    </row>
    <row r="303" spans="1:57" hidden="1">
      <c r="A303" s="69" t="s">
        <v>104</v>
      </c>
      <c r="B303" s="37">
        <v>1337</v>
      </c>
      <c r="C303" s="80" t="s">
        <v>52</v>
      </c>
      <c r="D303" s="80" t="s">
        <v>52</v>
      </c>
      <c r="E303" s="80" t="s">
        <v>52</v>
      </c>
      <c r="F303" s="80" t="s">
        <v>52</v>
      </c>
      <c r="G303" s="37">
        <v>1478</v>
      </c>
      <c r="H303" s="70">
        <v>447</v>
      </c>
      <c r="I303" s="70">
        <v>447</v>
      </c>
      <c r="J303" s="70">
        <v>462</v>
      </c>
      <c r="K303" s="70">
        <f>L303-J303-I303-H303</f>
        <v>428</v>
      </c>
      <c r="L303" s="37">
        <v>1784</v>
      </c>
      <c r="M303" s="70">
        <v>470</v>
      </c>
      <c r="N303" s="70">
        <v>509</v>
      </c>
      <c r="O303" s="70">
        <v>501</v>
      </c>
      <c r="P303" s="70">
        <f>Q303-O303-N303-M303</f>
        <v>498</v>
      </c>
      <c r="Q303" s="37">
        <v>1978</v>
      </c>
      <c r="R303" s="70">
        <v>548</v>
      </c>
      <c r="S303" s="70">
        <v>511</v>
      </c>
      <c r="T303" s="70">
        <v>495</v>
      </c>
      <c r="U303" s="70">
        <f>V303-T303-S303-R303</f>
        <v>407</v>
      </c>
      <c r="V303" s="37">
        <v>1961</v>
      </c>
      <c r="W303" s="70">
        <v>413</v>
      </c>
      <c r="X303" s="70">
        <v>396</v>
      </c>
      <c r="Y303" s="70">
        <v>333</v>
      </c>
      <c r="Z303" s="70">
        <f>AA303-Y303-X303-W303</f>
        <v>286</v>
      </c>
      <c r="AA303" s="37">
        <v>1428</v>
      </c>
      <c r="AB303" s="70">
        <f>AB285-AB300</f>
        <v>288</v>
      </c>
      <c r="AC303" s="70">
        <f>AC285-AC300</f>
        <v>288</v>
      </c>
      <c r="AD303" s="70">
        <f>AD285-AD300</f>
        <v>272</v>
      </c>
      <c r="AE303" s="70">
        <f>AF303-AD303-AC303-AB303</f>
        <v>250</v>
      </c>
      <c r="AF303" s="37">
        <v>1098</v>
      </c>
      <c r="AG303" s="70">
        <v>236</v>
      </c>
      <c r="AH303" s="70">
        <v>231</v>
      </c>
      <c r="AI303" s="70">
        <v>223</v>
      </c>
      <c r="AJ303" s="70">
        <v>192</v>
      </c>
      <c r="AK303" s="37">
        <v>882</v>
      </c>
      <c r="AL303" s="70">
        <v>120</v>
      </c>
      <c r="AM303" s="70">
        <v>133</v>
      </c>
      <c r="AN303" s="70">
        <v>143</v>
      </c>
      <c r="AO303" s="70">
        <v>111</v>
      </c>
      <c r="AP303" s="37">
        <v>507</v>
      </c>
      <c r="AQ303" s="70">
        <v>92</v>
      </c>
      <c r="AR303" s="70">
        <v>98</v>
      </c>
      <c r="AS303" s="70">
        <v>113</v>
      </c>
      <c r="AT303" s="70">
        <v>79</v>
      </c>
      <c r="AU303" s="37">
        <v>382</v>
      </c>
      <c r="AV303" s="70">
        <v>75</v>
      </c>
      <c r="AW303" s="70">
        <v>103</v>
      </c>
      <c r="AX303" s="70">
        <v>101</v>
      </c>
      <c r="AY303" s="70">
        <v>96</v>
      </c>
      <c r="AZ303" s="37">
        <v>375</v>
      </c>
      <c r="BA303" s="70">
        <v>88</v>
      </c>
      <c r="BB303" s="70">
        <v>79</v>
      </c>
      <c r="BC303" s="70">
        <v>83</v>
      </c>
      <c r="BD303" s="70"/>
      <c r="BE303" s="37"/>
    </row>
    <row r="304" spans="1:57" ht="10.5" hidden="1" customHeight="1">
      <c r="A304" s="71" t="s">
        <v>7</v>
      </c>
      <c r="B304" s="24"/>
      <c r="C304" s="72"/>
      <c r="D304" s="72"/>
      <c r="E304" s="72"/>
      <c r="F304" s="72"/>
      <c r="G304" s="24"/>
      <c r="H304" s="72"/>
      <c r="I304" s="72">
        <f>I303/H303-1</f>
        <v>0</v>
      </c>
      <c r="J304" s="72">
        <f>J303/I303-1</f>
        <v>3.3557046979865834E-2</v>
      </c>
      <c r="K304" s="72">
        <f>K303/J303-1</f>
        <v>-7.3593073593073544E-2</v>
      </c>
      <c r="L304" s="24"/>
      <c r="M304" s="72">
        <f>M303/K303-1</f>
        <v>9.8130841121495394E-2</v>
      </c>
      <c r="N304" s="72">
        <f>N303/M303-1</f>
        <v>8.2978723404255383E-2</v>
      </c>
      <c r="O304" s="72">
        <f>O303/N303-1</f>
        <v>-1.5717092337917515E-2</v>
      </c>
      <c r="P304" s="72">
        <f>P303/O303-1</f>
        <v>-5.9880239520958556E-3</v>
      </c>
      <c r="Q304" s="24"/>
      <c r="R304" s="72">
        <f>R303/P303-1</f>
        <v>0.10040160642570273</v>
      </c>
      <c r="S304" s="72">
        <f>S303/R303-1</f>
        <v>-6.7518248175182483E-2</v>
      </c>
      <c r="T304" s="72">
        <f>T303/S303-1</f>
        <v>-3.131115459882583E-2</v>
      </c>
      <c r="U304" s="72">
        <f>U303/T303-1</f>
        <v>-0.17777777777777781</v>
      </c>
      <c r="V304" s="24"/>
      <c r="W304" s="72">
        <f>W303/U303-1</f>
        <v>1.4742014742014753E-2</v>
      </c>
      <c r="X304" s="72">
        <f>X303/W303-1</f>
        <v>-4.1162227602905554E-2</v>
      </c>
      <c r="Y304" s="72">
        <f>Y303/X303-1</f>
        <v>-0.15909090909090906</v>
      </c>
      <c r="Z304" s="72">
        <f>Z303/Y303-1</f>
        <v>-0.14114114114114118</v>
      </c>
      <c r="AA304" s="24"/>
      <c r="AB304" s="72">
        <f>AB303/Z303-1</f>
        <v>6.9930069930070893E-3</v>
      </c>
      <c r="AC304" s="72">
        <f>AC303/AB303-1</f>
        <v>0</v>
      </c>
      <c r="AD304" s="72">
        <f>AD303/AC303-1</f>
        <v>-5.555555555555558E-2</v>
      </c>
      <c r="AE304" s="72">
        <f>AE303/AD303-1</f>
        <v>-8.0882352941176516E-2</v>
      </c>
      <c r="AF304" s="24"/>
      <c r="AG304" s="72">
        <v>-5.600000000000005E-2</v>
      </c>
      <c r="AH304" s="72">
        <v>-2.1186440677966156E-2</v>
      </c>
      <c r="AI304" s="72">
        <v>-3.4632034632034681E-2</v>
      </c>
      <c r="AJ304" s="72">
        <v>-0.13901345291479816</v>
      </c>
      <c r="AK304" s="24"/>
      <c r="AL304" s="72">
        <v>-0.375</v>
      </c>
      <c r="AM304" s="72">
        <v>0.10833333333333339</v>
      </c>
      <c r="AN304" s="72">
        <v>7.5187969924812137E-2</v>
      </c>
      <c r="AO304" s="72">
        <v>-0.22377622377622375</v>
      </c>
      <c r="AP304" s="24"/>
      <c r="AQ304" s="72">
        <v>-0.1711711711711712</v>
      </c>
      <c r="AR304" s="72">
        <v>6.5217391304347894E-2</v>
      </c>
      <c r="AS304" s="72">
        <v>0.15306122448979598</v>
      </c>
      <c r="AT304" s="72">
        <v>-0.30088495575221241</v>
      </c>
      <c r="AU304" s="24"/>
      <c r="AV304" s="72">
        <v>-5.0632911392405111E-2</v>
      </c>
      <c r="AW304" s="72">
        <v>0.37333333333333329</v>
      </c>
      <c r="AX304" s="72">
        <v>-1.9417475728155331E-2</v>
      </c>
      <c r="AY304" s="72">
        <v>-4.9504950495049549E-2</v>
      </c>
      <c r="AZ304" s="24"/>
      <c r="BA304" s="72">
        <v>-8.333333333333337E-2</v>
      </c>
      <c r="BB304" s="72">
        <v>-0.10227272727272729</v>
      </c>
      <c r="BC304" s="72">
        <v>5.0632911392405111E-2</v>
      </c>
      <c r="BD304" s="72"/>
      <c r="BE304" s="24"/>
    </row>
    <row r="305" spans="1:57" ht="9.75" hidden="1" customHeight="1">
      <c r="A305" s="71" t="s">
        <v>8</v>
      </c>
      <c r="B305" s="24"/>
      <c r="C305" s="73"/>
      <c r="D305" s="73"/>
      <c r="E305" s="73"/>
      <c r="F305" s="73"/>
      <c r="G305" s="24">
        <f>G303/B303-1</f>
        <v>0.10545998504113685</v>
      </c>
      <c r="H305" s="73"/>
      <c r="I305" s="73"/>
      <c r="J305" s="73"/>
      <c r="K305" s="73"/>
      <c r="L305" s="24">
        <f t="shared" ref="L305:AD305" si="220">L303/G303-1</f>
        <v>0.20703653585926918</v>
      </c>
      <c r="M305" s="73">
        <f t="shared" si="220"/>
        <v>5.1454138702460961E-2</v>
      </c>
      <c r="N305" s="73">
        <f t="shared" si="220"/>
        <v>0.13870246085011195</v>
      </c>
      <c r="O305" s="73">
        <f t="shared" si="220"/>
        <v>8.4415584415584499E-2</v>
      </c>
      <c r="P305" s="73">
        <f t="shared" si="220"/>
        <v>0.16355140186915884</v>
      </c>
      <c r="Q305" s="24">
        <f t="shared" si="220"/>
        <v>0.10874439461883401</v>
      </c>
      <c r="R305" s="73">
        <f t="shared" si="220"/>
        <v>0.16595744680851054</v>
      </c>
      <c r="S305" s="73">
        <f t="shared" si="220"/>
        <v>3.9292730844793233E-3</v>
      </c>
      <c r="T305" s="73">
        <f t="shared" si="220"/>
        <v>-1.19760479041916E-2</v>
      </c>
      <c r="U305" s="73">
        <f t="shared" si="220"/>
        <v>-0.18273092369477917</v>
      </c>
      <c r="V305" s="24">
        <f t="shared" si="220"/>
        <v>-8.5945399393326793E-3</v>
      </c>
      <c r="W305" s="73">
        <f t="shared" si="220"/>
        <v>-0.2463503649635036</v>
      </c>
      <c r="X305" s="73">
        <f t="shared" si="220"/>
        <v>-0.22504892367906071</v>
      </c>
      <c r="Y305" s="73">
        <f t="shared" si="220"/>
        <v>-0.32727272727272727</v>
      </c>
      <c r="Z305" s="73">
        <f t="shared" si="220"/>
        <v>-0.29729729729729726</v>
      </c>
      <c r="AA305" s="24">
        <f t="shared" si="220"/>
        <v>-0.27180010198878124</v>
      </c>
      <c r="AB305" s="73">
        <f t="shared" si="220"/>
        <v>-0.30266343825665865</v>
      </c>
      <c r="AC305" s="73">
        <f t="shared" si="220"/>
        <v>-0.27272727272727271</v>
      </c>
      <c r="AD305" s="73">
        <f t="shared" si="220"/>
        <v>-0.18318318318318316</v>
      </c>
      <c r="AE305" s="73">
        <f t="shared" ref="AE305" si="221">AE303/Z303-1</f>
        <v>-0.12587412587412583</v>
      </c>
      <c r="AF305" s="24">
        <v>-0.23109243697478987</v>
      </c>
      <c r="AG305" s="73">
        <v>-0.18055555555555558</v>
      </c>
      <c r="AH305" s="73">
        <v>-0.19791666666666663</v>
      </c>
      <c r="AI305" s="73">
        <v>-0.18014705882352944</v>
      </c>
      <c r="AJ305" s="73">
        <v>-0.23199999999999998</v>
      </c>
      <c r="AK305" s="24">
        <v>-0.19672131147540983</v>
      </c>
      <c r="AL305" s="73">
        <v>-0.49152542372881358</v>
      </c>
      <c r="AM305" s="73">
        <v>-0.4242424242424242</v>
      </c>
      <c r="AN305" s="73">
        <v>-0.35874439461883412</v>
      </c>
      <c r="AO305" s="73">
        <v>-0.421875</v>
      </c>
      <c r="AP305" s="24">
        <v>-0.42517006802721091</v>
      </c>
      <c r="AQ305" s="73">
        <v>-0.23333333333333328</v>
      </c>
      <c r="AR305" s="73">
        <v>-0.26315789473684215</v>
      </c>
      <c r="AS305" s="73">
        <v>-0.20979020979020979</v>
      </c>
      <c r="AT305" s="73">
        <v>-0.28828828828828834</v>
      </c>
      <c r="AU305" s="24">
        <v>-0.24654832347140043</v>
      </c>
      <c r="AV305" s="73">
        <v>-0.18478260869565222</v>
      </c>
      <c r="AW305" s="73">
        <v>5.1020408163265252E-2</v>
      </c>
      <c r="AX305" s="73">
        <v>-0.10619469026548678</v>
      </c>
      <c r="AY305" s="73">
        <v>0.21518987341772156</v>
      </c>
      <c r="AZ305" s="24">
        <v>-1.8324607329842979E-2</v>
      </c>
      <c r="BA305" s="73">
        <v>0.17333333333333334</v>
      </c>
      <c r="BB305" s="73">
        <v>-0.23300970873786409</v>
      </c>
      <c r="BC305" s="73">
        <v>-0.17821782178217827</v>
      </c>
      <c r="BD305" s="73"/>
      <c r="BE305" s="24">
        <v>-1</v>
      </c>
    </row>
    <row r="306" spans="1:57" hidden="1">
      <c r="A306" s="69" t="s">
        <v>84</v>
      </c>
      <c r="B306" s="37">
        <v>430</v>
      </c>
      <c r="C306" s="80" t="s">
        <v>52</v>
      </c>
      <c r="D306" s="80" t="s">
        <v>52</v>
      </c>
      <c r="E306" s="80" t="s">
        <v>52</v>
      </c>
      <c r="F306" s="80" t="s">
        <v>52</v>
      </c>
      <c r="G306" s="37">
        <v>405</v>
      </c>
      <c r="H306" s="70">
        <v>113</v>
      </c>
      <c r="I306" s="70">
        <v>96</v>
      </c>
      <c r="J306" s="70">
        <v>116</v>
      </c>
      <c r="K306" s="70">
        <f>L306-J306-I306-H306</f>
        <v>136</v>
      </c>
      <c r="L306" s="37">
        <v>461</v>
      </c>
      <c r="M306" s="70">
        <v>119</v>
      </c>
      <c r="N306" s="70">
        <v>117</v>
      </c>
      <c r="O306" s="70">
        <v>115</v>
      </c>
      <c r="P306" s="70">
        <f>Q306-O306-N306-M306</f>
        <v>117</v>
      </c>
      <c r="Q306" s="37">
        <v>468</v>
      </c>
      <c r="R306" s="70">
        <v>117</v>
      </c>
      <c r="S306" s="70">
        <v>125</v>
      </c>
      <c r="T306" s="70">
        <v>125</v>
      </c>
      <c r="U306" s="70">
        <f>V306-T306-S306-R306</f>
        <v>113</v>
      </c>
      <c r="V306" s="37">
        <v>480</v>
      </c>
      <c r="W306" s="70">
        <v>116</v>
      </c>
      <c r="X306" s="70">
        <v>111</v>
      </c>
      <c r="Y306" s="70">
        <v>105</v>
      </c>
      <c r="Z306" s="70">
        <f>AA306-Y306-X306-W306</f>
        <v>90</v>
      </c>
      <c r="AA306" s="37">
        <v>422</v>
      </c>
      <c r="AB306" s="70">
        <v>86</v>
      </c>
      <c r="AC306" s="70">
        <v>75</v>
      </c>
      <c r="AD306" s="70">
        <v>69</v>
      </c>
      <c r="AE306" s="70">
        <f>AF306-AD306-AC306-AB306</f>
        <v>90</v>
      </c>
      <c r="AF306" s="37">
        <v>320</v>
      </c>
      <c r="AG306" s="70">
        <v>83</v>
      </c>
      <c r="AH306" s="70">
        <v>76</v>
      </c>
      <c r="AI306" s="70">
        <v>76</v>
      </c>
      <c r="AJ306" s="70">
        <v>74</v>
      </c>
      <c r="AK306" s="37">
        <v>309</v>
      </c>
      <c r="AL306" s="70">
        <v>63</v>
      </c>
      <c r="AM306" s="70">
        <v>57</v>
      </c>
      <c r="AN306" s="70">
        <v>59</v>
      </c>
      <c r="AO306" s="70">
        <v>68</v>
      </c>
      <c r="AP306" s="37">
        <v>247</v>
      </c>
      <c r="AQ306" s="70">
        <v>66</v>
      </c>
      <c r="AR306" s="70">
        <v>68</v>
      </c>
      <c r="AS306" s="70">
        <v>65</v>
      </c>
      <c r="AT306" s="70">
        <v>61</v>
      </c>
      <c r="AU306" s="37">
        <v>260</v>
      </c>
      <c r="AV306" s="70">
        <v>48</v>
      </c>
      <c r="AW306" s="70">
        <v>51</v>
      </c>
      <c r="AX306" s="70">
        <v>58</v>
      </c>
      <c r="AY306" s="70">
        <v>58</v>
      </c>
      <c r="AZ306" s="37">
        <v>215</v>
      </c>
      <c r="BA306" s="70">
        <v>62</v>
      </c>
      <c r="BB306" s="70">
        <v>56</v>
      </c>
      <c r="BC306" s="70">
        <v>58</v>
      </c>
      <c r="BD306" s="70"/>
      <c r="BE306" s="37"/>
    </row>
    <row r="307" spans="1:57" hidden="1">
      <c r="A307" s="71" t="s">
        <v>7</v>
      </c>
      <c r="B307" s="24"/>
      <c r="C307" s="72"/>
      <c r="D307" s="72"/>
      <c r="E307" s="72"/>
      <c r="F307" s="72"/>
      <c r="G307" s="24"/>
      <c r="H307" s="72"/>
      <c r="I307" s="72">
        <f>I306/H306-1</f>
        <v>-0.15044247787610621</v>
      </c>
      <c r="J307" s="72">
        <f>J306/I306-1</f>
        <v>0.20833333333333326</v>
      </c>
      <c r="K307" s="72">
        <f>K306/J306-1</f>
        <v>0.17241379310344818</v>
      </c>
      <c r="L307" s="24"/>
      <c r="M307" s="72">
        <f>M306/K306-1</f>
        <v>-0.125</v>
      </c>
      <c r="N307" s="72">
        <f>N306/M306-1</f>
        <v>-1.6806722689075682E-2</v>
      </c>
      <c r="O307" s="72">
        <f>O306/N306-1</f>
        <v>-1.7094017094017144E-2</v>
      </c>
      <c r="P307" s="72">
        <f>P306/O306-1</f>
        <v>1.7391304347825987E-2</v>
      </c>
      <c r="Q307" s="24"/>
      <c r="R307" s="72">
        <f>R306/P306-1</f>
        <v>0</v>
      </c>
      <c r="S307" s="72">
        <f>S306/R306-1</f>
        <v>6.8376068376068355E-2</v>
      </c>
      <c r="T307" s="72">
        <f>T306/S306-1</f>
        <v>0</v>
      </c>
      <c r="U307" s="72">
        <f>U306/T306-1</f>
        <v>-9.5999999999999974E-2</v>
      </c>
      <c r="V307" s="24"/>
      <c r="W307" s="72">
        <f>W306/U306-1</f>
        <v>2.6548672566371723E-2</v>
      </c>
      <c r="X307" s="72">
        <f>X306/W306-1</f>
        <v>-4.31034482758621E-2</v>
      </c>
      <c r="Y307" s="72">
        <f>Y306/X306-1</f>
        <v>-5.4054054054054057E-2</v>
      </c>
      <c r="Z307" s="72">
        <f>Z306/Y306-1</f>
        <v>-0.1428571428571429</v>
      </c>
      <c r="AA307" s="24"/>
      <c r="AB307" s="72">
        <f>AB306/Z306-1</f>
        <v>-4.4444444444444398E-2</v>
      </c>
      <c r="AC307" s="72">
        <f>AC306/AB306-1</f>
        <v>-0.12790697674418605</v>
      </c>
      <c r="AD307" s="72">
        <f>AD306/AC306-1</f>
        <v>-7.999999999999996E-2</v>
      </c>
      <c r="AE307" s="72">
        <f>AE306/AD306-1</f>
        <v>0.30434782608695654</v>
      </c>
      <c r="AF307" s="24"/>
      <c r="AG307" s="72">
        <v>-7.7777777777777724E-2</v>
      </c>
      <c r="AH307" s="72">
        <v>-8.4337349397590411E-2</v>
      </c>
      <c r="AI307" s="72">
        <v>0</v>
      </c>
      <c r="AJ307" s="72">
        <v>-2.6315789473684181E-2</v>
      </c>
      <c r="AK307" s="24"/>
      <c r="AL307" s="72">
        <v>-0.14864864864864868</v>
      </c>
      <c r="AM307" s="72">
        <v>-9.5238095238095233E-2</v>
      </c>
      <c r="AN307" s="72">
        <v>3.5087719298245723E-2</v>
      </c>
      <c r="AO307" s="72">
        <v>0.15254237288135597</v>
      </c>
      <c r="AP307" s="24"/>
      <c r="AQ307" s="72">
        <v>-2.9411764705882359E-2</v>
      </c>
      <c r="AR307" s="72">
        <v>3.0303030303030276E-2</v>
      </c>
      <c r="AS307" s="72">
        <v>-4.4117647058823484E-2</v>
      </c>
      <c r="AT307" s="72">
        <v>-6.1538461538461542E-2</v>
      </c>
      <c r="AU307" s="24"/>
      <c r="AV307" s="72">
        <v>-0.21311475409836067</v>
      </c>
      <c r="AW307" s="72">
        <v>6.25E-2</v>
      </c>
      <c r="AX307" s="72">
        <v>0.13725490196078427</v>
      </c>
      <c r="AY307" s="72">
        <v>0</v>
      </c>
      <c r="AZ307" s="24"/>
      <c r="BA307" s="72">
        <v>6.8965517241379226E-2</v>
      </c>
      <c r="BB307" s="72">
        <v>-9.6774193548387122E-2</v>
      </c>
      <c r="BC307" s="72">
        <v>3.5714285714285809E-2</v>
      </c>
      <c r="BD307" s="72"/>
      <c r="BE307" s="24"/>
    </row>
    <row r="308" spans="1:57" hidden="1">
      <c r="A308" s="71" t="s">
        <v>8</v>
      </c>
      <c r="B308" s="24"/>
      <c r="C308" s="73"/>
      <c r="D308" s="73"/>
      <c r="E308" s="73"/>
      <c r="F308" s="73"/>
      <c r="G308" s="24">
        <f>G306/B306-1</f>
        <v>-5.8139534883720922E-2</v>
      </c>
      <c r="H308" s="73"/>
      <c r="I308" s="73"/>
      <c r="J308" s="73"/>
      <c r="K308" s="73"/>
      <c r="L308" s="24">
        <f t="shared" ref="L308:AD308" si="222">L306/G306-1</f>
        <v>0.13827160493827151</v>
      </c>
      <c r="M308" s="73">
        <f t="shared" si="222"/>
        <v>5.3097345132743445E-2</v>
      </c>
      <c r="N308" s="73">
        <f t="shared" si="222"/>
        <v>0.21875</v>
      </c>
      <c r="O308" s="73">
        <f t="shared" si="222"/>
        <v>-8.6206896551723755E-3</v>
      </c>
      <c r="P308" s="73">
        <f t="shared" si="222"/>
        <v>-0.13970588235294112</v>
      </c>
      <c r="Q308" s="24">
        <f t="shared" si="222"/>
        <v>1.5184381778741818E-2</v>
      </c>
      <c r="R308" s="73">
        <f t="shared" si="222"/>
        <v>-1.6806722689075682E-2</v>
      </c>
      <c r="S308" s="73">
        <f t="shared" si="222"/>
        <v>6.8376068376068355E-2</v>
      </c>
      <c r="T308" s="73">
        <f t="shared" si="222"/>
        <v>8.6956521739130377E-2</v>
      </c>
      <c r="U308" s="73">
        <f t="shared" si="222"/>
        <v>-3.4188034188034178E-2</v>
      </c>
      <c r="V308" s="24">
        <f t="shared" si="222"/>
        <v>2.564102564102555E-2</v>
      </c>
      <c r="W308" s="73">
        <f t="shared" si="222"/>
        <v>-8.5470085470085166E-3</v>
      </c>
      <c r="X308" s="73">
        <f t="shared" si="222"/>
        <v>-0.11199999999999999</v>
      </c>
      <c r="Y308" s="73">
        <f t="shared" si="222"/>
        <v>-0.16000000000000003</v>
      </c>
      <c r="Z308" s="73">
        <f t="shared" si="222"/>
        <v>-0.20353982300884954</v>
      </c>
      <c r="AA308" s="24">
        <f t="shared" si="222"/>
        <v>-0.12083333333333335</v>
      </c>
      <c r="AB308" s="73">
        <f t="shared" si="222"/>
        <v>-0.25862068965517238</v>
      </c>
      <c r="AC308" s="73">
        <f t="shared" si="222"/>
        <v>-0.32432432432432434</v>
      </c>
      <c r="AD308" s="73">
        <f t="shared" si="222"/>
        <v>-0.34285714285714286</v>
      </c>
      <c r="AE308" s="73">
        <f t="shared" ref="AE308" si="223">AE306/Z306-1</f>
        <v>0</v>
      </c>
      <c r="AF308" s="24">
        <v>-0.24170616113744081</v>
      </c>
      <c r="AG308" s="73">
        <v>-3.4883720930232509E-2</v>
      </c>
      <c r="AH308" s="73">
        <v>1.3333333333333419E-2</v>
      </c>
      <c r="AI308" s="73">
        <v>0.10144927536231885</v>
      </c>
      <c r="AJ308" s="73">
        <v>-0.17777777777777781</v>
      </c>
      <c r="AK308" s="24">
        <v>-3.4375000000000044E-2</v>
      </c>
      <c r="AL308" s="73">
        <v>-0.24096385542168675</v>
      </c>
      <c r="AM308" s="73">
        <v>-0.25</v>
      </c>
      <c r="AN308" s="73">
        <v>-0.22368421052631582</v>
      </c>
      <c r="AO308" s="73">
        <v>-8.108108108108103E-2</v>
      </c>
      <c r="AP308" s="24">
        <v>-0.20064724919093846</v>
      </c>
      <c r="AQ308" s="73">
        <v>4.7619047619047672E-2</v>
      </c>
      <c r="AR308" s="73">
        <v>0.19298245614035081</v>
      </c>
      <c r="AS308" s="73">
        <v>0.10169491525423724</v>
      </c>
      <c r="AT308" s="73">
        <v>-0.1029411764705882</v>
      </c>
      <c r="AU308" s="24">
        <v>5.2631578947368363E-2</v>
      </c>
      <c r="AV308" s="73">
        <v>-0.27272727272727271</v>
      </c>
      <c r="AW308" s="73">
        <v>-0.25</v>
      </c>
      <c r="AX308" s="73">
        <v>-0.10769230769230764</v>
      </c>
      <c r="AY308" s="73">
        <v>-4.9180327868852514E-2</v>
      </c>
      <c r="AZ308" s="24">
        <v>-0.17307692307692313</v>
      </c>
      <c r="BA308" s="73">
        <v>0.29166666666666674</v>
      </c>
      <c r="BB308" s="73">
        <v>9.8039215686274606E-2</v>
      </c>
      <c r="BC308" s="73">
        <v>0</v>
      </c>
      <c r="BD308" s="73"/>
      <c r="BE308" s="24">
        <v>-1</v>
      </c>
    </row>
    <row r="309" spans="1:57" hidden="1">
      <c r="A309" s="69" t="s">
        <v>85</v>
      </c>
      <c r="B309" s="37">
        <v>102</v>
      </c>
      <c r="C309" s="80" t="s">
        <v>52</v>
      </c>
      <c r="D309" s="80" t="s">
        <v>52</v>
      </c>
      <c r="E309" s="80" t="s">
        <v>52</v>
      </c>
      <c r="F309" s="80" t="s">
        <v>52</v>
      </c>
      <c r="G309" s="37">
        <v>140</v>
      </c>
      <c r="H309" s="70">
        <v>32</v>
      </c>
      <c r="I309" s="70">
        <v>30</v>
      </c>
      <c r="J309" s="70">
        <v>30</v>
      </c>
      <c r="K309" s="70">
        <f>L309-J309-I309-H309</f>
        <v>41</v>
      </c>
      <c r="L309" s="37">
        <v>133</v>
      </c>
      <c r="M309" s="70">
        <v>29</v>
      </c>
      <c r="N309" s="70">
        <v>30</v>
      </c>
      <c r="O309" s="70">
        <v>30</v>
      </c>
      <c r="P309" s="70">
        <f>Q309-O309-N309-M309</f>
        <v>38</v>
      </c>
      <c r="Q309" s="37">
        <v>127</v>
      </c>
      <c r="R309" s="70">
        <v>32</v>
      </c>
      <c r="S309" s="70">
        <v>29</v>
      </c>
      <c r="T309" s="70">
        <v>28</v>
      </c>
      <c r="U309" s="70">
        <f>V309-T309-S309-R309</f>
        <v>32</v>
      </c>
      <c r="V309" s="37">
        <v>121</v>
      </c>
      <c r="W309" s="70">
        <v>30</v>
      </c>
      <c r="X309" s="70">
        <v>26</v>
      </c>
      <c r="Y309" s="70">
        <v>29</v>
      </c>
      <c r="Z309" s="70">
        <f>AA309-Y309-X309-W309</f>
        <v>29</v>
      </c>
      <c r="AA309" s="37">
        <v>114</v>
      </c>
      <c r="AB309" s="70">
        <v>28</v>
      </c>
      <c r="AC309" s="70">
        <v>27</v>
      </c>
      <c r="AD309" s="70">
        <v>31</v>
      </c>
      <c r="AE309" s="70">
        <f>AF309-AD309-AC309-AB309</f>
        <v>23</v>
      </c>
      <c r="AF309" s="37">
        <v>109</v>
      </c>
      <c r="AG309" s="70">
        <v>27</v>
      </c>
      <c r="AH309" s="70">
        <v>28</v>
      </c>
      <c r="AI309" s="70">
        <v>25</v>
      </c>
      <c r="AJ309" s="70">
        <v>26</v>
      </c>
      <c r="AK309" s="37">
        <v>106</v>
      </c>
      <c r="AL309" s="70">
        <v>25</v>
      </c>
      <c r="AM309" s="70">
        <v>23</v>
      </c>
      <c r="AN309" s="70">
        <v>23</v>
      </c>
      <c r="AO309" s="70">
        <v>27</v>
      </c>
      <c r="AP309" s="37">
        <v>98</v>
      </c>
      <c r="AQ309" s="70">
        <v>25</v>
      </c>
      <c r="AR309" s="70">
        <v>22</v>
      </c>
      <c r="AS309" s="70">
        <v>21</v>
      </c>
      <c r="AT309" s="70">
        <v>21</v>
      </c>
      <c r="AU309" s="37">
        <v>89</v>
      </c>
      <c r="AV309" s="70">
        <v>22</v>
      </c>
      <c r="AW309" s="70">
        <v>22</v>
      </c>
      <c r="AX309" s="70">
        <v>21</v>
      </c>
      <c r="AY309" s="70">
        <v>23</v>
      </c>
      <c r="AZ309" s="37">
        <v>88</v>
      </c>
      <c r="BA309" s="70">
        <v>24</v>
      </c>
      <c r="BB309" s="70">
        <v>21</v>
      </c>
      <c r="BC309" s="70">
        <v>21</v>
      </c>
      <c r="BD309" s="70"/>
      <c r="BE309" s="37"/>
    </row>
    <row r="310" spans="1:57" hidden="1">
      <c r="A310" s="71" t="s">
        <v>7</v>
      </c>
      <c r="B310" s="24"/>
      <c r="C310" s="72"/>
      <c r="D310" s="72"/>
      <c r="E310" s="72"/>
      <c r="F310" s="72"/>
      <c r="G310" s="24"/>
      <c r="H310" s="72"/>
      <c r="I310" s="72">
        <f>I309/H309-1</f>
        <v>-6.25E-2</v>
      </c>
      <c r="J310" s="72">
        <f>J309/I309-1</f>
        <v>0</v>
      </c>
      <c r="K310" s="72">
        <f>K309/J309-1</f>
        <v>0.3666666666666667</v>
      </c>
      <c r="L310" s="24"/>
      <c r="M310" s="72">
        <f>M309/K309-1</f>
        <v>-0.29268292682926833</v>
      </c>
      <c r="N310" s="72">
        <f>N309/M309-1</f>
        <v>3.4482758620689724E-2</v>
      </c>
      <c r="O310" s="72">
        <f>O309/N309-1</f>
        <v>0</v>
      </c>
      <c r="P310" s="72">
        <f>P309/O309-1</f>
        <v>0.26666666666666661</v>
      </c>
      <c r="Q310" s="24"/>
      <c r="R310" s="72">
        <f>R309/P309-1</f>
        <v>-0.15789473684210531</v>
      </c>
      <c r="S310" s="72">
        <f>S309/R309-1</f>
        <v>-9.375E-2</v>
      </c>
      <c r="T310" s="72">
        <f>T309/S309-1</f>
        <v>-3.4482758620689613E-2</v>
      </c>
      <c r="U310" s="72">
        <f>U309/T309-1</f>
        <v>0.14285714285714279</v>
      </c>
      <c r="V310" s="24"/>
      <c r="W310" s="72">
        <f>W309/U309-1</f>
        <v>-6.25E-2</v>
      </c>
      <c r="X310" s="72">
        <f>X309/W309-1</f>
        <v>-0.1333333333333333</v>
      </c>
      <c r="Y310" s="72">
        <f>Y309/X309-1</f>
        <v>0.11538461538461542</v>
      </c>
      <c r="Z310" s="72">
        <f>Z309/Y309-1</f>
        <v>0</v>
      </c>
      <c r="AA310" s="24"/>
      <c r="AB310" s="72">
        <f>AB309/Z309-1</f>
        <v>-3.4482758620689613E-2</v>
      </c>
      <c r="AC310" s="72">
        <f>AC309/AB309-1</f>
        <v>-3.5714285714285698E-2</v>
      </c>
      <c r="AD310" s="72">
        <f>AD309/AC309-1</f>
        <v>0.14814814814814814</v>
      </c>
      <c r="AE310" s="72">
        <f>AE309/AD309-1</f>
        <v>-0.25806451612903225</v>
      </c>
      <c r="AF310" s="24"/>
      <c r="AG310" s="72">
        <v>0.17391304347826098</v>
      </c>
      <c r="AH310" s="72">
        <v>3.7037037037036979E-2</v>
      </c>
      <c r="AI310" s="72">
        <v>-0.1071428571428571</v>
      </c>
      <c r="AJ310" s="72">
        <v>4.0000000000000036E-2</v>
      </c>
      <c r="AK310" s="24"/>
      <c r="AL310" s="72">
        <v>-3.8461538461538436E-2</v>
      </c>
      <c r="AM310" s="72">
        <v>-7.999999999999996E-2</v>
      </c>
      <c r="AN310" s="72">
        <v>0</v>
      </c>
      <c r="AO310" s="72">
        <v>0.17391304347826098</v>
      </c>
      <c r="AP310" s="24"/>
      <c r="AQ310" s="72">
        <v>-7.407407407407407E-2</v>
      </c>
      <c r="AR310" s="72">
        <v>-0.12</v>
      </c>
      <c r="AS310" s="72">
        <v>-4.5454545454545414E-2</v>
      </c>
      <c r="AT310" s="72">
        <v>0</v>
      </c>
      <c r="AU310" s="24"/>
      <c r="AV310" s="72">
        <v>4.7619047619047672E-2</v>
      </c>
      <c r="AW310" s="72">
        <v>0</v>
      </c>
      <c r="AX310" s="72">
        <v>-4.5454545454545414E-2</v>
      </c>
      <c r="AY310" s="72">
        <v>9.5238095238095344E-2</v>
      </c>
      <c r="AZ310" s="24"/>
      <c r="BA310" s="72">
        <v>4.3478260869565188E-2</v>
      </c>
      <c r="BB310" s="72">
        <v>-0.125</v>
      </c>
      <c r="BC310" s="72">
        <v>0</v>
      </c>
      <c r="BD310" s="72"/>
      <c r="BE310" s="24"/>
    </row>
    <row r="311" spans="1:57" hidden="1">
      <c r="A311" s="71" t="s">
        <v>8</v>
      </c>
      <c r="B311" s="24"/>
      <c r="C311" s="73"/>
      <c r="D311" s="73"/>
      <c r="E311" s="73"/>
      <c r="F311" s="73"/>
      <c r="G311" s="24">
        <f>G309/B309-1</f>
        <v>0.37254901960784315</v>
      </c>
      <c r="H311" s="73"/>
      <c r="I311" s="73"/>
      <c r="J311" s="73"/>
      <c r="K311" s="73"/>
      <c r="L311" s="24">
        <f t="shared" ref="L311:AD311" si="224">L309/G309-1</f>
        <v>-5.0000000000000044E-2</v>
      </c>
      <c r="M311" s="73">
        <f t="shared" si="224"/>
        <v>-9.375E-2</v>
      </c>
      <c r="N311" s="73">
        <f t="shared" si="224"/>
        <v>0</v>
      </c>
      <c r="O311" s="73">
        <f t="shared" si="224"/>
        <v>0</v>
      </c>
      <c r="P311" s="73">
        <f t="shared" si="224"/>
        <v>-7.3170731707317027E-2</v>
      </c>
      <c r="Q311" s="24">
        <f t="shared" si="224"/>
        <v>-4.5112781954887216E-2</v>
      </c>
      <c r="R311" s="73">
        <f t="shared" si="224"/>
        <v>0.10344827586206895</v>
      </c>
      <c r="S311" s="73">
        <f t="shared" si="224"/>
        <v>-3.3333333333333326E-2</v>
      </c>
      <c r="T311" s="73">
        <f t="shared" si="224"/>
        <v>-6.6666666666666652E-2</v>
      </c>
      <c r="U311" s="73">
        <f t="shared" si="224"/>
        <v>-0.15789473684210531</v>
      </c>
      <c r="V311" s="24">
        <f t="shared" si="224"/>
        <v>-4.7244094488189003E-2</v>
      </c>
      <c r="W311" s="73">
        <f t="shared" si="224"/>
        <v>-6.25E-2</v>
      </c>
      <c r="X311" s="73">
        <f t="shared" si="224"/>
        <v>-0.10344827586206895</v>
      </c>
      <c r="Y311" s="73">
        <f t="shared" si="224"/>
        <v>3.5714285714285809E-2</v>
      </c>
      <c r="Z311" s="73">
        <f t="shared" si="224"/>
        <v>-9.375E-2</v>
      </c>
      <c r="AA311" s="24">
        <f t="shared" si="224"/>
        <v>-5.7851239669421517E-2</v>
      </c>
      <c r="AB311" s="73">
        <f t="shared" si="224"/>
        <v>-6.6666666666666652E-2</v>
      </c>
      <c r="AC311" s="73">
        <f t="shared" si="224"/>
        <v>3.8461538461538547E-2</v>
      </c>
      <c r="AD311" s="73">
        <f t="shared" si="224"/>
        <v>6.8965517241379226E-2</v>
      </c>
      <c r="AE311" s="73">
        <f t="shared" ref="AE311" si="225">AE309/Z309-1</f>
        <v>-0.2068965517241379</v>
      </c>
      <c r="AF311" s="24">
        <v>-4.3859649122807043E-2</v>
      </c>
      <c r="AG311" s="73">
        <v>-3.5714285714285698E-2</v>
      </c>
      <c r="AH311" s="73">
        <v>3.7037037037036979E-2</v>
      </c>
      <c r="AI311" s="73">
        <v>-0.19354838709677424</v>
      </c>
      <c r="AJ311" s="73">
        <v>0.13043478260869557</v>
      </c>
      <c r="AK311" s="24">
        <v>-2.752293577981646E-2</v>
      </c>
      <c r="AL311" s="73">
        <v>-7.407407407407407E-2</v>
      </c>
      <c r="AM311" s="73">
        <v>-0.1785714285714286</v>
      </c>
      <c r="AN311" s="73">
        <v>-7.999999999999996E-2</v>
      </c>
      <c r="AO311" s="73">
        <v>3.8461538461538547E-2</v>
      </c>
      <c r="AP311" s="24">
        <v>-7.547169811320753E-2</v>
      </c>
      <c r="AQ311" s="73">
        <v>0</v>
      </c>
      <c r="AR311" s="73">
        <v>-4.3478260869565188E-2</v>
      </c>
      <c r="AS311" s="73">
        <v>-8.6956521739130488E-2</v>
      </c>
      <c r="AT311" s="73">
        <v>-0.22222222222222221</v>
      </c>
      <c r="AU311" s="24">
        <v>-9.1836734693877542E-2</v>
      </c>
      <c r="AV311" s="73">
        <v>-0.12</v>
      </c>
      <c r="AW311" s="73">
        <v>0</v>
      </c>
      <c r="AX311" s="73">
        <v>0</v>
      </c>
      <c r="AY311" s="73">
        <v>9.5238095238095344E-2</v>
      </c>
      <c r="AZ311" s="24">
        <v>-1.1235955056179803E-2</v>
      </c>
      <c r="BA311" s="73">
        <v>9.0909090909090828E-2</v>
      </c>
      <c r="BB311" s="73">
        <v>-4.5454545454545414E-2</v>
      </c>
      <c r="BC311" s="73">
        <v>0</v>
      </c>
      <c r="BD311" s="73"/>
      <c r="BE311" s="24">
        <v>-1</v>
      </c>
    </row>
    <row r="312" spans="1:57">
      <c r="A312" s="69" t="s">
        <v>273</v>
      </c>
      <c r="B312" s="37">
        <f>398+81</f>
        <v>479</v>
      </c>
      <c r="C312" s="70">
        <v>129</v>
      </c>
      <c r="D312" s="70">
        <v>130</v>
      </c>
      <c r="E312" s="70">
        <v>129</v>
      </c>
      <c r="F312" s="70">
        <f>G312-E312-D312-C312</f>
        <v>135</v>
      </c>
      <c r="G312" s="37">
        <f>424+99</f>
        <v>523</v>
      </c>
      <c r="H312" s="70">
        <v>139</v>
      </c>
      <c r="I312" s="70">
        <f>114+37</f>
        <v>151</v>
      </c>
      <c r="J312" s="70">
        <v>155</v>
      </c>
      <c r="K312" s="70">
        <f>L312-J312-I312-H312</f>
        <v>158</v>
      </c>
      <c r="L312" s="37">
        <f>456+147</f>
        <v>603</v>
      </c>
      <c r="M312" s="70">
        <f>110+39</f>
        <v>149</v>
      </c>
      <c r="N312" s="70">
        <f>109+40</f>
        <v>149</v>
      </c>
      <c r="O312" s="70">
        <f>110+39</f>
        <v>149</v>
      </c>
      <c r="P312" s="70">
        <f>Q312-O312-N312-M312</f>
        <v>154</v>
      </c>
      <c r="Q312" s="37">
        <f>444+157</f>
        <v>601</v>
      </c>
      <c r="R312" s="70">
        <v>139</v>
      </c>
      <c r="S312" s="70">
        <v>143</v>
      </c>
      <c r="T312" s="70">
        <v>139</v>
      </c>
      <c r="U312" s="70">
        <f>V312-T312-S312-R312</f>
        <v>140</v>
      </c>
      <c r="V312" s="37">
        <f>410+151</f>
        <v>561</v>
      </c>
      <c r="W312" s="70">
        <v>135</v>
      </c>
      <c r="X312" s="70">
        <f>105+32</f>
        <v>137</v>
      </c>
      <c r="Y312" s="70">
        <v>130</v>
      </c>
      <c r="Z312" s="70">
        <f>AA312-Y312-X312-W312</f>
        <v>129</v>
      </c>
      <c r="AA312" s="37">
        <v>531</v>
      </c>
      <c r="AB312" s="70">
        <f>98+23</f>
        <v>121</v>
      </c>
      <c r="AC312" s="70">
        <f>91+22</f>
        <v>113</v>
      </c>
      <c r="AD312" s="70">
        <v>111</v>
      </c>
      <c r="AE312" s="70">
        <f>AF312-AD312-AC312-AB312</f>
        <v>113</v>
      </c>
      <c r="AF312" s="37">
        <v>458</v>
      </c>
      <c r="AG312" s="70">
        <v>106</v>
      </c>
      <c r="AH312" s="70">
        <v>105</v>
      </c>
      <c r="AI312" s="70">
        <v>108</v>
      </c>
      <c r="AJ312" s="70">
        <v>111</v>
      </c>
      <c r="AK312" s="37">
        <v>430</v>
      </c>
      <c r="AL312" s="70">
        <v>104</v>
      </c>
      <c r="AM312" s="70">
        <v>106</v>
      </c>
      <c r="AN312" s="70">
        <v>109</v>
      </c>
      <c r="AO312" s="70">
        <v>100</v>
      </c>
      <c r="AP312" s="37">
        <v>419</v>
      </c>
      <c r="AQ312" s="70">
        <v>104</v>
      </c>
      <c r="AR312" s="70">
        <v>95</v>
      </c>
      <c r="AS312" s="70">
        <v>92</v>
      </c>
      <c r="AT312" s="70">
        <v>89</v>
      </c>
      <c r="AU312" s="37">
        <v>380</v>
      </c>
      <c r="AV312" s="70">
        <v>94</v>
      </c>
      <c r="AW312" s="70">
        <v>99</v>
      </c>
      <c r="AX312" s="70">
        <v>100</v>
      </c>
      <c r="AY312" s="70">
        <v>90</v>
      </c>
      <c r="AZ312" s="37">
        <v>383</v>
      </c>
      <c r="BA312" s="70">
        <v>158</v>
      </c>
      <c r="BB312" s="70">
        <v>159</v>
      </c>
      <c r="BC312" s="70">
        <v>161</v>
      </c>
      <c r="BD312" s="70">
        <v>177</v>
      </c>
      <c r="BE312" s="37">
        <v>655</v>
      </c>
    </row>
    <row r="313" spans="1:57">
      <c r="A313" s="82" t="s">
        <v>7</v>
      </c>
      <c r="B313" s="24"/>
      <c r="C313" s="72"/>
      <c r="D313" s="72">
        <f>D312/C312-1</f>
        <v>7.7519379844961378E-3</v>
      </c>
      <c r="E313" s="72">
        <f>E312/D312-1</f>
        <v>-7.692307692307665E-3</v>
      </c>
      <c r="F313" s="72">
        <f>F312/E312-1</f>
        <v>4.6511627906976827E-2</v>
      </c>
      <c r="G313" s="24"/>
      <c r="H313" s="72">
        <f>H312/F312-1</f>
        <v>2.9629629629629672E-2</v>
      </c>
      <c r="I313" s="72">
        <f>I312/H312-1</f>
        <v>8.6330935251798468E-2</v>
      </c>
      <c r="J313" s="72">
        <f>J312/I312-1</f>
        <v>2.6490066225165476E-2</v>
      </c>
      <c r="K313" s="72">
        <f>K312/J312-1</f>
        <v>1.9354838709677358E-2</v>
      </c>
      <c r="L313" s="24"/>
      <c r="M313" s="72">
        <f>M312/K312-1</f>
        <v>-5.6962025316455667E-2</v>
      </c>
      <c r="N313" s="72">
        <f>N312/M312-1</f>
        <v>0</v>
      </c>
      <c r="O313" s="72">
        <f>O312/N312-1</f>
        <v>0</v>
      </c>
      <c r="P313" s="72">
        <f>P312/O312-1</f>
        <v>3.3557046979865834E-2</v>
      </c>
      <c r="Q313" s="24"/>
      <c r="R313" s="72">
        <f>R312/P312-1</f>
        <v>-9.740259740259738E-2</v>
      </c>
      <c r="S313" s="72">
        <f>S312/R312-1</f>
        <v>2.877697841726623E-2</v>
      </c>
      <c r="T313" s="72">
        <f>T312/S312-1</f>
        <v>-2.7972027972028024E-2</v>
      </c>
      <c r="U313" s="72">
        <f>U312/T312-1</f>
        <v>7.194244604316502E-3</v>
      </c>
      <c r="V313" s="24"/>
      <c r="W313" s="72">
        <f>W312/U312-1</f>
        <v>-3.5714285714285698E-2</v>
      </c>
      <c r="X313" s="72">
        <f>X312/W312-1</f>
        <v>1.4814814814814836E-2</v>
      </c>
      <c r="Y313" s="72">
        <f>Y312/X312-1</f>
        <v>-5.1094890510948954E-2</v>
      </c>
      <c r="Z313" s="72">
        <f>Z312/Y312-1</f>
        <v>-7.692307692307665E-3</v>
      </c>
      <c r="AA313" s="24"/>
      <c r="AB313" s="72">
        <f>AB312/Z312-1</f>
        <v>-6.2015503875968991E-2</v>
      </c>
      <c r="AC313" s="72">
        <f>AC312/AB312-1</f>
        <v>-6.6115702479338845E-2</v>
      </c>
      <c r="AD313" s="72">
        <f>AD312/AC312-1</f>
        <v>-1.7699115044247815E-2</v>
      </c>
      <c r="AE313" s="72">
        <f>AE312/AD312-1</f>
        <v>1.8018018018018056E-2</v>
      </c>
      <c r="AF313" s="24"/>
      <c r="AG313" s="72">
        <v>-6.1946902654867242E-2</v>
      </c>
      <c r="AH313" s="72">
        <v>-9.4339622641509413E-3</v>
      </c>
      <c r="AI313" s="72">
        <v>2.857142857142847E-2</v>
      </c>
      <c r="AJ313" s="72">
        <v>2.7777777777777679E-2</v>
      </c>
      <c r="AK313" s="24"/>
      <c r="AL313" s="72">
        <v>-6.3063063063063085E-2</v>
      </c>
      <c r="AM313" s="72">
        <v>1.9230769230769162E-2</v>
      </c>
      <c r="AN313" s="72">
        <v>2.8301886792452935E-2</v>
      </c>
      <c r="AO313" s="72">
        <v>-8.256880733944949E-2</v>
      </c>
      <c r="AP313" s="24"/>
      <c r="AQ313" s="72">
        <v>4.0000000000000036E-2</v>
      </c>
      <c r="AR313" s="72">
        <v>-8.6538461538461564E-2</v>
      </c>
      <c r="AS313" s="72">
        <v>-3.157894736842104E-2</v>
      </c>
      <c r="AT313" s="72">
        <v>-3.2608695652173947E-2</v>
      </c>
      <c r="AU313" s="24"/>
      <c r="AV313" s="72">
        <v>5.6179775280898792E-2</v>
      </c>
      <c r="AW313" s="72">
        <v>5.3191489361702038E-2</v>
      </c>
      <c r="AX313" s="72">
        <v>1.0101010101010166E-2</v>
      </c>
      <c r="AY313" s="72">
        <v>-9.9999999999999978E-2</v>
      </c>
      <c r="AZ313" s="24"/>
      <c r="BA313" s="72">
        <v>0.75555555555555554</v>
      </c>
      <c r="BB313" s="72">
        <v>6.3291139240506666E-3</v>
      </c>
      <c r="BC313" s="72">
        <v>1.2578616352201255E-2</v>
      </c>
      <c r="BD313" s="72">
        <v>9.9378881987577605E-2</v>
      </c>
      <c r="BE313" s="24"/>
    </row>
    <row r="314" spans="1:57">
      <c r="A314" s="82" t="s">
        <v>8</v>
      </c>
      <c r="B314" s="24"/>
      <c r="C314" s="73"/>
      <c r="D314" s="73"/>
      <c r="E314" s="73"/>
      <c r="F314" s="73"/>
      <c r="G314" s="24">
        <f t="shared" ref="G314:N314" si="226">G312/B312-1</f>
        <v>9.1858037578288032E-2</v>
      </c>
      <c r="H314" s="73">
        <f t="shared" si="226"/>
        <v>7.7519379844961156E-2</v>
      </c>
      <c r="I314" s="73">
        <f t="shared" si="226"/>
        <v>0.16153846153846163</v>
      </c>
      <c r="J314" s="73">
        <f t="shared" si="226"/>
        <v>0.20155038759689914</v>
      </c>
      <c r="K314" s="73">
        <f t="shared" si="226"/>
        <v>0.17037037037037028</v>
      </c>
      <c r="L314" s="24">
        <f t="shared" si="226"/>
        <v>0.15296367112810705</v>
      </c>
      <c r="M314" s="73">
        <f t="shared" si="226"/>
        <v>7.1942446043165464E-2</v>
      </c>
      <c r="N314" s="73">
        <f t="shared" si="226"/>
        <v>-1.3245033112582738E-2</v>
      </c>
      <c r="O314" s="73">
        <f t="shared" ref="O314:Y314" si="227">O312/J312-1</f>
        <v>-3.8709677419354827E-2</v>
      </c>
      <c r="P314" s="73">
        <f t="shared" si="227"/>
        <v>-2.5316455696202556E-2</v>
      </c>
      <c r="Q314" s="24">
        <f t="shared" si="227"/>
        <v>-3.3167495854062867E-3</v>
      </c>
      <c r="R314" s="73">
        <f t="shared" si="227"/>
        <v>-6.7114093959731558E-2</v>
      </c>
      <c r="S314" s="73">
        <f t="shared" si="227"/>
        <v>-4.0268456375838979E-2</v>
      </c>
      <c r="T314" s="73">
        <f t="shared" si="227"/>
        <v>-6.7114093959731558E-2</v>
      </c>
      <c r="U314" s="73">
        <f t="shared" si="227"/>
        <v>-9.0909090909090939E-2</v>
      </c>
      <c r="V314" s="24">
        <f t="shared" si="227"/>
        <v>-6.6555740432612365E-2</v>
      </c>
      <c r="W314" s="73">
        <f t="shared" si="227"/>
        <v>-2.877697841726623E-2</v>
      </c>
      <c r="X314" s="73">
        <f t="shared" si="227"/>
        <v>-4.1958041958041981E-2</v>
      </c>
      <c r="Y314" s="73">
        <f t="shared" si="227"/>
        <v>-6.4748201438848962E-2</v>
      </c>
      <c r="Z314" s="73">
        <f t="shared" ref="Z314:AE314" si="228">Z312/U312-1</f>
        <v>-7.8571428571428625E-2</v>
      </c>
      <c r="AA314" s="24">
        <f t="shared" si="228"/>
        <v>-5.3475935828876997E-2</v>
      </c>
      <c r="AB314" s="73">
        <f t="shared" si="228"/>
        <v>-0.10370370370370374</v>
      </c>
      <c r="AC314" s="73">
        <f t="shared" si="228"/>
        <v>-0.17518248175182483</v>
      </c>
      <c r="AD314" s="73">
        <f t="shared" si="228"/>
        <v>-0.14615384615384619</v>
      </c>
      <c r="AE314" s="73">
        <f t="shared" si="228"/>
        <v>-0.12403100775193798</v>
      </c>
      <c r="AF314" s="24">
        <v>-0.13747645951035781</v>
      </c>
      <c r="AG314" s="73">
        <v>-0.12396694214876036</v>
      </c>
      <c r="AH314" s="73">
        <v>-7.0796460176991149E-2</v>
      </c>
      <c r="AI314" s="73">
        <v>-2.7027027027026973E-2</v>
      </c>
      <c r="AJ314" s="73">
        <v>-1.7699115044247815E-2</v>
      </c>
      <c r="AK314" s="24">
        <v>-6.1135371179039333E-2</v>
      </c>
      <c r="AL314" s="73">
        <v>-1.8867924528301883E-2</v>
      </c>
      <c r="AM314" s="73">
        <v>9.52380952380949E-3</v>
      </c>
      <c r="AN314" s="73">
        <v>9.2592592592593004E-3</v>
      </c>
      <c r="AO314" s="73">
        <v>-9.9099099099099086E-2</v>
      </c>
      <c r="AP314" s="24">
        <v>-2.5581395348837188E-2</v>
      </c>
      <c r="AQ314" s="73">
        <v>0</v>
      </c>
      <c r="AR314" s="73">
        <v>-0.10377358490566035</v>
      </c>
      <c r="AS314" s="73">
        <v>-0.15596330275229353</v>
      </c>
      <c r="AT314" s="73">
        <v>-0.10999999999999999</v>
      </c>
      <c r="AU314" s="24">
        <v>-9.3078758949880713E-2</v>
      </c>
      <c r="AV314" s="73">
        <v>-9.6153846153846145E-2</v>
      </c>
      <c r="AW314" s="73">
        <v>4.2105263157894646E-2</v>
      </c>
      <c r="AX314" s="73">
        <v>8.6956521739130377E-2</v>
      </c>
      <c r="AY314" s="73">
        <v>1.1235955056179803E-2</v>
      </c>
      <c r="AZ314" s="24">
        <v>7.8947368421051767E-3</v>
      </c>
      <c r="BA314" s="73">
        <v>0.68085106382978733</v>
      </c>
      <c r="BB314" s="73">
        <v>0.60606060606060597</v>
      </c>
      <c r="BC314" s="73">
        <v>0.6100000000000001</v>
      </c>
      <c r="BD314" s="73">
        <v>0.96666666666666656</v>
      </c>
      <c r="BE314" s="24">
        <v>0.71018276762402088</v>
      </c>
    </row>
    <row r="315" spans="1:57">
      <c r="A315" s="69" t="s">
        <v>97</v>
      </c>
      <c r="B315" s="37">
        <v>598</v>
      </c>
      <c r="C315" s="80" t="s">
        <v>52</v>
      </c>
      <c r="D315" s="80" t="s">
        <v>52</v>
      </c>
      <c r="E315" s="80" t="s">
        <v>52</v>
      </c>
      <c r="F315" s="80" t="s">
        <v>52</v>
      </c>
      <c r="G315" s="37">
        <v>638</v>
      </c>
      <c r="H315" s="80" t="s">
        <v>52</v>
      </c>
      <c r="I315" s="80" t="s">
        <v>52</v>
      </c>
      <c r="J315" s="80" t="s">
        <v>52</v>
      </c>
      <c r="K315" s="80" t="s">
        <v>52</v>
      </c>
      <c r="L315" s="37">
        <v>601</v>
      </c>
      <c r="M315" s="80" t="s">
        <v>52</v>
      </c>
      <c r="N315" s="80" t="s">
        <v>52</v>
      </c>
      <c r="O315" s="80" t="s">
        <v>52</v>
      </c>
      <c r="P315" s="80" t="s">
        <v>52</v>
      </c>
      <c r="Q315" s="37">
        <v>590</v>
      </c>
      <c r="R315" s="80" t="s">
        <v>52</v>
      </c>
      <c r="S315" s="80" t="s">
        <v>52</v>
      </c>
      <c r="T315" s="80" t="s">
        <v>52</v>
      </c>
      <c r="U315" s="80" t="s">
        <v>52</v>
      </c>
      <c r="V315" s="37">
        <v>602</v>
      </c>
      <c r="W315" s="80" t="s">
        <v>52</v>
      </c>
      <c r="X315" s="80" t="s">
        <v>52</v>
      </c>
      <c r="Y315" s="80" t="s">
        <v>52</v>
      </c>
      <c r="Z315" s="80" t="s">
        <v>52</v>
      </c>
      <c r="AA315" s="37">
        <v>491</v>
      </c>
      <c r="AB315" s="70">
        <v>114</v>
      </c>
      <c r="AC315" s="70">
        <v>109</v>
      </c>
      <c r="AD315" s="70">
        <v>111</v>
      </c>
      <c r="AE315" s="70">
        <f>AF315-AD315-AC315-AB315</f>
        <v>105</v>
      </c>
      <c r="AF315" s="37">
        <v>439</v>
      </c>
      <c r="AG315" s="70">
        <v>109</v>
      </c>
      <c r="AH315" s="70">
        <v>103</v>
      </c>
      <c r="AI315" s="70">
        <v>100</v>
      </c>
      <c r="AJ315" s="70">
        <v>105</v>
      </c>
      <c r="AK315" s="37">
        <v>417</v>
      </c>
      <c r="AL315" s="70">
        <v>96</v>
      </c>
      <c r="AM315" s="70">
        <v>96</v>
      </c>
      <c r="AN315" s="70">
        <v>90</v>
      </c>
      <c r="AO315" s="70">
        <v>99</v>
      </c>
      <c r="AP315" s="37">
        <v>381</v>
      </c>
      <c r="AQ315" s="70">
        <v>96</v>
      </c>
      <c r="AR315" s="70">
        <v>94</v>
      </c>
      <c r="AS315" s="70">
        <v>94</v>
      </c>
      <c r="AT315" s="70">
        <v>94</v>
      </c>
      <c r="AU315" s="37">
        <v>378</v>
      </c>
      <c r="AV315" s="70">
        <v>98</v>
      </c>
      <c r="AW315" s="70">
        <v>94</v>
      </c>
      <c r="AX315" s="70">
        <v>94</v>
      </c>
      <c r="AY315" s="70">
        <v>98</v>
      </c>
      <c r="AZ315" s="37">
        <v>384</v>
      </c>
      <c r="BA315" s="70">
        <v>100</v>
      </c>
      <c r="BB315" s="70">
        <v>95</v>
      </c>
      <c r="BC315" s="70">
        <v>94</v>
      </c>
      <c r="BD315" s="70">
        <v>90</v>
      </c>
      <c r="BE315" s="37">
        <v>379</v>
      </c>
    </row>
    <row r="316" spans="1:57">
      <c r="A316" s="71" t="s">
        <v>7</v>
      </c>
      <c r="B316" s="24"/>
      <c r="C316" s="73"/>
      <c r="D316" s="73"/>
      <c r="E316" s="73"/>
      <c r="F316" s="73"/>
      <c r="G316" s="24"/>
      <c r="H316" s="73"/>
      <c r="I316" s="73"/>
      <c r="J316" s="73"/>
      <c r="K316" s="73"/>
      <c r="L316" s="24"/>
      <c r="M316" s="73"/>
      <c r="N316" s="73"/>
      <c r="O316" s="73"/>
      <c r="P316" s="73"/>
      <c r="Q316" s="24"/>
      <c r="R316" s="73"/>
      <c r="S316" s="73"/>
      <c r="T316" s="73"/>
      <c r="U316" s="73"/>
      <c r="V316" s="24"/>
      <c r="W316" s="73"/>
      <c r="X316" s="73"/>
      <c r="Y316" s="73"/>
      <c r="Z316" s="73"/>
      <c r="AA316" s="24"/>
      <c r="AB316" s="72"/>
      <c r="AC316" s="72">
        <f>AC315/AB315-1</f>
        <v>-4.3859649122807043E-2</v>
      </c>
      <c r="AD316" s="72">
        <f>AD315/AC315-1</f>
        <v>1.8348623853210899E-2</v>
      </c>
      <c r="AE316" s="72">
        <f>AE315/AD315-1</f>
        <v>-5.4054054054054057E-2</v>
      </c>
      <c r="AF316" s="24"/>
      <c r="AG316" s="72">
        <v>3.8095238095238182E-2</v>
      </c>
      <c r="AH316" s="72">
        <v>-5.5045871559633031E-2</v>
      </c>
      <c r="AI316" s="72">
        <v>-2.9126213592232997E-2</v>
      </c>
      <c r="AJ316" s="72">
        <v>5.0000000000000044E-2</v>
      </c>
      <c r="AK316" s="24"/>
      <c r="AL316" s="72">
        <v>-8.5714285714285743E-2</v>
      </c>
      <c r="AM316" s="72">
        <v>0</v>
      </c>
      <c r="AN316" s="72">
        <v>-6.25E-2</v>
      </c>
      <c r="AO316" s="72">
        <v>0.10000000000000009</v>
      </c>
      <c r="AP316" s="24"/>
      <c r="AQ316" s="72">
        <v>-3.0303030303030276E-2</v>
      </c>
      <c r="AR316" s="72">
        <v>-2.083333333333337E-2</v>
      </c>
      <c r="AS316" s="72">
        <v>0</v>
      </c>
      <c r="AT316" s="72">
        <v>0</v>
      </c>
      <c r="AU316" s="24"/>
      <c r="AV316" s="72">
        <v>4.2553191489361764E-2</v>
      </c>
      <c r="AW316" s="72">
        <v>-4.081632653061229E-2</v>
      </c>
      <c r="AX316" s="72">
        <v>0</v>
      </c>
      <c r="AY316" s="72">
        <v>4.2553191489361764E-2</v>
      </c>
      <c r="AZ316" s="24"/>
      <c r="BA316" s="72">
        <v>2.0408163265306145E-2</v>
      </c>
      <c r="BB316" s="72">
        <v>-5.0000000000000044E-2</v>
      </c>
      <c r="BC316" s="72">
        <v>-1.0526315789473717E-2</v>
      </c>
      <c r="BD316" s="72">
        <v>-4.2553191489361653E-2</v>
      </c>
      <c r="BE316" s="24"/>
    </row>
    <row r="317" spans="1:57">
      <c r="A317" s="71" t="s">
        <v>8</v>
      </c>
      <c r="B317" s="24"/>
      <c r="C317" s="73"/>
      <c r="D317" s="73"/>
      <c r="E317" s="73"/>
      <c r="F317" s="73"/>
      <c r="G317" s="24">
        <f>G315/B315-1</f>
        <v>6.6889632107023367E-2</v>
      </c>
      <c r="H317" s="73"/>
      <c r="I317" s="73"/>
      <c r="J317" s="73"/>
      <c r="K317" s="73"/>
      <c r="L317" s="24">
        <f>L315/G315-1</f>
        <v>-5.7993730407523536E-2</v>
      </c>
      <c r="M317" s="73"/>
      <c r="N317" s="73"/>
      <c r="O317" s="73"/>
      <c r="P317" s="73"/>
      <c r="Q317" s="24">
        <f>Q315/L315-1</f>
        <v>-1.830282861896837E-2</v>
      </c>
      <c r="R317" s="73"/>
      <c r="S317" s="73"/>
      <c r="T317" s="73"/>
      <c r="U317" s="73"/>
      <c r="V317" s="24">
        <f>V315/Q315-1</f>
        <v>2.0338983050847359E-2</v>
      </c>
      <c r="W317" s="73"/>
      <c r="X317" s="73"/>
      <c r="Y317" s="73"/>
      <c r="Z317" s="73"/>
      <c r="AA317" s="24">
        <f>AA315/V315-1</f>
        <v>-0.18438538205980071</v>
      </c>
      <c r="AB317" s="73"/>
      <c r="AC317" s="73"/>
      <c r="AD317" s="73"/>
      <c r="AE317" s="73"/>
      <c r="AF317" s="24">
        <v>-0.1059063136456212</v>
      </c>
      <c r="AG317" s="73">
        <v>-4.3859649122807043E-2</v>
      </c>
      <c r="AH317" s="73">
        <v>-5.5045871559633031E-2</v>
      </c>
      <c r="AI317" s="73">
        <v>-9.9099099099099086E-2</v>
      </c>
      <c r="AJ317" s="73">
        <v>0</v>
      </c>
      <c r="AK317" s="24">
        <v>-5.0113895216400861E-2</v>
      </c>
      <c r="AL317" s="73">
        <v>-0.11926605504587151</v>
      </c>
      <c r="AM317" s="73">
        <v>-6.7961165048543659E-2</v>
      </c>
      <c r="AN317" s="73">
        <v>-9.9999999999999978E-2</v>
      </c>
      <c r="AO317" s="73">
        <v>-5.7142857142857162E-2</v>
      </c>
      <c r="AP317" s="24">
        <v>-8.633093525179858E-2</v>
      </c>
      <c r="AQ317" s="73">
        <v>0</v>
      </c>
      <c r="AR317" s="73">
        <v>-2.083333333333337E-2</v>
      </c>
      <c r="AS317" s="73">
        <v>4.4444444444444509E-2</v>
      </c>
      <c r="AT317" s="73">
        <v>-5.0505050505050497E-2</v>
      </c>
      <c r="AU317" s="24">
        <v>-7.8740157480314821E-3</v>
      </c>
      <c r="AV317" s="73">
        <v>2.0833333333333259E-2</v>
      </c>
      <c r="AW317" s="73">
        <v>0</v>
      </c>
      <c r="AX317" s="73">
        <v>0</v>
      </c>
      <c r="AY317" s="73">
        <v>4.2553191489361764E-2</v>
      </c>
      <c r="AZ317" s="24">
        <v>1.5873015873015817E-2</v>
      </c>
      <c r="BA317" s="73">
        <v>2.0408163265306145E-2</v>
      </c>
      <c r="BB317" s="73">
        <v>1.0638297872340496E-2</v>
      </c>
      <c r="BC317" s="73">
        <v>0</v>
      </c>
      <c r="BD317" s="73">
        <v>-8.1632653061224469E-2</v>
      </c>
      <c r="BE317" s="24">
        <v>-1.302083333333337E-2</v>
      </c>
    </row>
    <row r="318" spans="1:57">
      <c r="A318" s="69" t="s">
        <v>86</v>
      </c>
      <c r="B318" s="37">
        <v>2802</v>
      </c>
      <c r="C318" s="80" t="s">
        <v>52</v>
      </c>
      <c r="D318" s="80" t="s">
        <v>52</v>
      </c>
      <c r="E318" s="80" t="s">
        <v>52</v>
      </c>
      <c r="F318" s="80" t="s">
        <v>52</v>
      </c>
      <c r="G318" s="37">
        <v>2619</v>
      </c>
      <c r="H318" s="80" t="s">
        <v>52</v>
      </c>
      <c r="I318" s="80" t="s">
        <v>52</v>
      </c>
      <c r="J318" s="80" t="s">
        <v>52</v>
      </c>
      <c r="K318" s="80" t="s">
        <v>52</v>
      </c>
      <c r="L318" s="37">
        <v>2982</v>
      </c>
      <c r="M318" s="80" t="s">
        <v>52</v>
      </c>
      <c r="N318" s="80" t="s">
        <v>52</v>
      </c>
      <c r="O318" s="80" t="s">
        <v>52</v>
      </c>
      <c r="P318" s="80" t="s">
        <v>52</v>
      </c>
      <c r="Q318" s="37">
        <v>3158</v>
      </c>
      <c r="R318" s="80" t="s">
        <v>52</v>
      </c>
      <c r="S318" s="80" t="s">
        <v>52</v>
      </c>
      <c r="T318" s="80" t="s">
        <v>52</v>
      </c>
      <c r="U318" s="80" t="s">
        <v>52</v>
      </c>
      <c r="V318" s="37">
        <v>3025</v>
      </c>
      <c r="W318" s="80" t="s">
        <v>52</v>
      </c>
      <c r="X318" s="80" t="s">
        <v>52</v>
      </c>
      <c r="Y318" s="80" t="s">
        <v>52</v>
      </c>
      <c r="Z318" s="80" t="s">
        <v>52</v>
      </c>
      <c r="AA318" s="37">
        <v>2554</v>
      </c>
      <c r="AB318" s="70">
        <v>555</v>
      </c>
      <c r="AC318" s="70">
        <v>507</v>
      </c>
      <c r="AD318" s="70">
        <v>553</v>
      </c>
      <c r="AE318" s="70">
        <f>AF318-AD318-AC318-AB318</f>
        <v>628</v>
      </c>
      <c r="AF318" s="37">
        <v>2243</v>
      </c>
      <c r="AG318" s="70">
        <v>576</v>
      </c>
      <c r="AH318" s="70">
        <v>508</v>
      </c>
      <c r="AI318" s="70">
        <v>494</v>
      </c>
      <c r="AJ318" s="70">
        <v>527</v>
      </c>
      <c r="AK318" s="37">
        <v>2105</v>
      </c>
      <c r="AL318" s="70">
        <v>495</v>
      </c>
      <c r="AM318" s="70">
        <v>466</v>
      </c>
      <c r="AN318" s="70">
        <v>469</v>
      </c>
      <c r="AO318" s="70">
        <v>498</v>
      </c>
      <c r="AP318" s="37">
        <v>1928</v>
      </c>
      <c r="AQ318" s="70">
        <v>470</v>
      </c>
      <c r="AR318" s="70">
        <v>461</v>
      </c>
      <c r="AS318" s="70">
        <v>436</v>
      </c>
      <c r="AT318" s="70">
        <v>471</v>
      </c>
      <c r="AU318" s="37">
        <v>1838</v>
      </c>
      <c r="AV318" s="70">
        <v>431</v>
      </c>
      <c r="AW318" s="70">
        <v>409</v>
      </c>
      <c r="AX318" s="70">
        <v>419</v>
      </c>
      <c r="AY318" s="70">
        <v>439</v>
      </c>
      <c r="AZ318" s="37">
        <v>1698</v>
      </c>
      <c r="BA318" s="70">
        <v>359</v>
      </c>
      <c r="BB318" s="70">
        <v>346</v>
      </c>
      <c r="BC318" s="70">
        <v>345</v>
      </c>
      <c r="BD318" s="70">
        <v>352</v>
      </c>
      <c r="BE318" s="37">
        <v>1402</v>
      </c>
    </row>
    <row r="319" spans="1:57">
      <c r="A319" s="71" t="s">
        <v>7</v>
      </c>
      <c r="B319" s="24"/>
      <c r="C319" s="73"/>
      <c r="D319" s="73"/>
      <c r="E319" s="73"/>
      <c r="F319" s="73"/>
      <c r="G319" s="24"/>
      <c r="H319" s="73"/>
      <c r="I319" s="73"/>
      <c r="J319" s="73"/>
      <c r="K319" s="73"/>
      <c r="L319" s="24"/>
      <c r="M319" s="73"/>
      <c r="N319" s="73"/>
      <c r="O319" s="73"/>
      <c r="P319" s="73"/>
      <c r="Q319" s="24"/>
      <c r="R319" s="73"/>
      <c r="S319" s="73"/>
      <c r="T319" s="73"/>
      <c r="U319" s="73"/>
      <c r="V319" s="24"/>
      <c r="W319" s="73"/>
      <c r="X319" s="73"/>
      <c r="Y319" s="73"/>
      <c r="Z319" s="73"/>
      <c r="AA319" s="24"/>
      <c r="AB319" s="72"/>
      <c r="AC319" s="72">
        <f>AC318/AB318-1</f>
        <v>-8.6486486486486491E-2</v>
      </c>
      <c r="AD319" s="72">
        <f>AD318/AC318-1</f>
        <v>9.0729783037475364E-2</v>
      </c>
      <c r="AE319" s="72">
        <f>AE318/AD318-1</f>
        <v>0.13562386980108498</v>
      </c>
      <c r="AF319" s="24"/>
      <c r="AG319" s="72">
        <v>-8.2802547770700619E-2</v>
      </c>
      <c r="AH319" s="72">
        <v>-0.11805555555555558</v>
      </c>
      <c r="AI319" s="72">
        <v>-2.7559055118110187E-2</v>
      </c>
      <c r="AJ319" s="72">
        <v>6.68016194331984E-2</v>
      </c>
      <c r="AK319" s="24"/>
      <c r="AL319" s="72">
        <v>-6.0721062618595778E-2</v>
      </c>
      <c r="AM319" s="72">
        <v>-5.858585858585863E-2</v>
      </c>
      <c r="AN319" s="72">
        <v>6.4377682403433667E-3</v>
      </c>
      <c r="AO319" s="72">
        <v>6.1833688699360234E-2</v>
      </c>
      <c r="AP319" s="24"/>
      <c r="AQ319" s="72">
        <v>-5.6224899598393607E-2</v>
      </c>
      <c r="AR319" s="72">
        <v>-1.9148936170212738E-2</v>
      </c>
      <c r="AS319" s="72">
        <v>-5.4229934924078127E-2</v>
      </c>
      <c r="AT319" s="72">
        <v>8.0275229357798183E-2</v>
      </c>
      <c r="AU319" s="24"/>
      <c r="AV319" s="72">
        <v>-8.4925690021231404E-2</v>
      </c>
      <c r="AW319" s="72">
        <v>-5.1044083526682105E-2</v>
      </c>
      <c r="AX319" s="72">
        <v>2.4449877750611249E-2</v>
      </c>
      <c r="AY319" s="72">
        <v>4.7732696897374804E-2</v>
      </c>
      <c r="AZ319" s="24"/>
      <c r="BA319" s="72">
        <v>-0.1822323462414579</v>
      </c>
      <c r="BB319" s="72">
        <v>-3.6211699164345412E-2</v>
      </c>
      <c r="BC319" s="72">
        <v>-2.8901734104046506E-3</v>
      </c>
      <c r="BD319" s="72">
        <v>2.0289855072463725E-2</v>
      </c>
      <c r="BE319" s="24"/>
    </row>
    <row r="320" spans="1:57">
      <c r="A320" s="71" t="s">
        <v>8</v>
      </c>
      <c r="B320" s="24"/>
      <c r="C320" s="73"/>
      <c r="D320" s="73"/>
      <c r="E320" s="73"/>
      <c r="F320" s="73"/>
      <c r="G320" s="24">
        <f t="shared" ref="G320" si="229">G318/B318-1</f>
        <v>-6.5310492505353368E-2</v>
      </c>
      <c r="H320" s="73"/>
      <c r="I320" s="73"/>
      <c r="J320" s="73"/>
      <c r="K320" s="73"/>
      <c r="L320" s="24">
        <f t="shared" ref="L320" si="230">L318/G318-1</f>
        <v>0.13860252004581897</v>
      </c>
      <c r="M320" s="73"/>
      <c r="N320" s="73"/>
      <c r="O320" s="73"/>
      <c r="P320" s="73"/>
      <c r="Q320" s="24">
        <f t="shared" ref="Q320" si="231">Q318/L318-1</f>
        <v>5.9020791415157703E-2</v>
      </c>
      <c r="R320" s="73"/>
      <c r="S320" s="73"/>
      <c r="T320" s="73"/>
      <c r="U320" s="73"/>
      <c r="V320" s="24">
        <f t="shared" ref="V320" si="232">V318/Q318-1</f>
        <v>-4.2115262824572564E-2</v>
      </c>
      <c r="W320" s="73"/>
      <c r="X320" s="73"/>
      <c r="Y320" s="73"/>
      <c r="Z320" s="73"/>
      <c r="AA320" s="24">
        <f t="shared" ref="AA320" si="233">AA318/V318-1</f>
        <v>-0.15570247933884296</v>
      </c>
      <c r="AB320" s="73"/>
      <c r="AC320" s="73"/>
      <c r="AD320" s="73"/>
      <c r="AE320" s="73"/>
      <c r="AF320" s="24">
        <v>-0.12176977290524671</v>
      </c>
      <c r="AG320" s="73">
        <v>3.7837837837837895E-2</v>
      </c>
      <c r="AH320" s="73">
        <v>1.9723865877712132E-3</v>
      </c>
      <c r="AI320" s="73">
        <v>-0.10669077757685352</v>
      </c>
      <c r="AJ320" s="73">
        <v>-0.16082802547770703</v>
      </c>
      <c r="AK320" s="24">
        <v>-6.1524743646901525E-2</v>
      </c>
      <c r="AL320" s="73">
        <v>-0.140625</v>
      </c>
      <c r="AM320" s="73">
        <v>-8.2677165354330673E-2</v>
      </c>
      <c r="AN320" s="73">
        <v>-5.0607287449392691E-2</v>
      </c>
      <c r="AO320" s="73">
        <v>-5.502846299810249E-2</v>
      </c>
      <c r="AP320" s="24">
        <v>-8.4085510688836074E-2</v>
      </c>
      <c r="AQ320" s="73">
        <v>-5.0505050505050497E-2</v>
      </c>
      <c r="AR320" s="73">
        <v>-1.0729613733905574E-2</v>
      </c>
      <c r="AS320" s="73">
        <v>-7.0362473347547971E-2</v>
      </c>
      <c r="AT320" s="73">
        <v>-5.4216867469879526E-2</v>
      </c>
      <c r="AU320" s="24">
        <v>-4.6680497925311148E-2</v>
      </c>
      <c r="AV320" s="73">
        <v>-8.2978723404255272E-2</v>
      </c>
      <c r="AW320" s="73">
        <v>-0.11279826464208242</v>
      </c>
      <c r="AX320" s="73">
        <v>-3.8990825688073438E-2</v>
      </c>
      <c r="AY320" s="73">
        <v>-6.7940552016985123E-2</v>
      </c>
      <c r="AZ320" s="24">
        <v>-7.6169749727965197E-2</v>
      </c>
      <c r="BA320" s="73">
        <v>-0.16705336426914152</v>
      </c>
      <c r="BB320" s="73">
        <v>-0.15403422982885084</v>
      </c>
      <c r="BC320" s="73">
        <v>-0.1766109785202864</v>
      </c>
      <c r="BD320" s="73">
        <v>-0.19817767653758545</v>
      </c>
      <c r="BE320" s="24">
        <v>-0.17432273262661957</v>
      </c>
    </row>
    <row r="321" spans="1:57">
      <c r="A321" s="69" t="s">
        <v>167</v>
      </c>
      <c r="B321" s="63" t="s">
        <v>147</v>
      </c>
      <c r="C321" s="151" t="s">
        <v>147</v>
      </c>
      <c r="D321" s="151" t="s">
        <v>147</v>
      </c>
      <c r="E321" s="151" t="s">
        <v>147</v>
      </c>
      <c r="F321" s="151" t="s">
        <v>147</v>
      </c>
      <c r="G321" s="63" t="s">
        <v>147</v>
      </c>
      <c r="H321" s="151" t="s">
        <v>147</v>
      </c>
      <c r="I321" s="151" t="s">
        <v>147</v>
      </c>
      <c r="J321" s="151" t="s">
        <v>147</v>
      </c>
      <c r="K321" s="151" t="s">
        <v>147</v>
      </c>
      <c r="L321" s="63" t="s">
        <v>147</v>
      </c>
      <c r="M321" s="151" t="s">
        <v>147</v>
      </c>
      <c r="N321" s="151" t="s">
        <v>147</v>
      </c>
      <c r="O321" s="151" t="s">
        <v>147</v>
      </c>
      <c r="P321" s="151" t="s">
        <v>147</v>
      </c>
      <c r="Q321" s="63" t="s">
        <v>147</v>
      </c>
      <c r="R321" s="151" t="s">
        <v>147</v>
      </c>
      <c r="S321" s="151" t="s">
        <v>147</v>
      </c>
      <c r="T321" s="151" t="s">
        <v>147</v>
      </c>
      <c r="U321" s="151" t="s">
        <v>147</v>
      </c>
      <c r="V321" s="63" t="s">
        <v>147</v>
      </c>
      <c r="W321" s="151" t="s">
        <v>147</v>
      </c>
      <c r="X321" s="151" t="s">
        <v>147</v>
      </c>
      <c r="Y321" s="151" t="s">
        <v>147</v>
      </c>
      <c r="Z321" s="151" t="s">
        <v>147</v>
      </c>
      <c r="AA321" s="63" t="s">
        <v>147</v>
      </c>
      <c r="AB321" s="151" t="s">
        <v>147</v>
      </c>
      <c r="AC321" s="151" t="s">
        <v>147</v>
      </c>
      <c r="AD321" s="151" t="s">
        <v>147</v>
      </c>
      <c r="AE321" s="70">
        <v>61</v>
      </c>
      <c r="AF321" s="37">
        <v>61</v>
      </c>
      <c r="AG321" s="151" t="s">
        <v>147</v>
      </c>
      <c r="AH321" s="151" t="s">
        <v>147</v>
      </c>
      <c r="AI321" s="151" t="s">
        <v>147</v>
      </c>
      <c r="AJ321" s="151">
        <v>18</v>
      </c>
      <c r="AK321" s="37">
        <v>18</v>
      </c>
      <c r="AL321" s="151" t="s">
        <v>147</v>
      </c>
      <c r="AM321" s="151" t="s">
        <v>147</v>
      </c>
      <c r="AN321" s="151" t="s">
        <v>147</v>
      </c>
      <c r="AO321" s="151">
        <v>5</v>
      </c>
      <c r="AP321" s="37">
        <v>5</v>
      </c>
      <c r="AQ321" s="151" t="s">
        <v>147</v>
      </c>
      <c r="AR321" s="151" t="s">
        <v>147</v>
      </c>
      <c r="AS321" s="151" t="s">
        <v>147</v>
      </c>
      <c r="AT321" s="151">
        <v>2</v>
      </c>
      <c r="AU321" s="37">
        <v>2</v>
      </c>
      <c r="AV321" s="151" t="s">
        <v>147</v>
      </c>
      <c r="AW321" s="151" t="s">
        <v>147</v>
      </c>
      <c r="AX321" s="151" t="s">
        <v>147</v>
      </c>
      <c r="AY321" s="151" t="s">
        <v>147</v>
      </c>
      <c r="AZ321" s="63">
        <v>9</v>
      </c>
      <c r="BA321" s="151" t="s">
        <v>147</v>
      </c>
      <c r="BB321" s="151" t="s">
        <v>147</v>
      </c>
      <c r="BC321" s="151">
        <v>6</v>
      </c>
      <c r="BD321" s="151">
        <v>3</v>
      </c>
      <c r="BE321" s="63">
        <v>9</v>
      </c>
    </row>
    <row r="322" spans="1:57">
      <c r="A322" s="71"/>
      <c r="B322" s="24"/>
      <c r="C322" s="73"/>
      <c r="D322" s="73"/>
      <c r="E322" s="73"/>
      <c r="F322" s="73"/>
      <c r="G322" s="24"/>
      <c r="H322" s="73"/>
      <c r="I322" s="73"/>
      <c r="J322" s="73"/>
      <c r="K322" s="73"/>
      <c r="L322" s="24"/>
      <c r="M322" s="73"/>
      <c r="N322" s="73"/>
      <c r="O322" s="73"/>
      <c r="P322" s="73"/>
      <c r="Q322" s="24"/>
      <c r="R322" s="73"/>
      <c r="S322" s="73"/>
      <c r="T322" s="73"/>
      <c r="U322" s="73"/>
      <c r="V322" s="24"/>
      <c r="W322" s="73"/>
      <c r="X322" s="73"/>
      <c r="Y322" s="73"/>
      <c r="Z322" s="73"/>
      <c r="AA322" s="24"/>
      <c r="AB322" s="73"/>
      <c r="AC322" s="73"/>
      <c r="AD322" s="73"/>
      <c r="AE322" s="73"/>
      <c r="AF322" s="24"/>
      <c r="AG322" s="73"/>
      <c r="AH322" s="73"/>
      <c r="AI322" s="73"/>
      <c r="AJ322" s="73"/>
      <c r="AK322" s="24"/>
      <c r="AL322" s="73"/>
      <c r="AM322" s="73"/>
      <c r="AN322" s="73"/>
      <c r="AO322" s="73"/>
      <c r="AP322" s="24"/>
      <c r="AQ322" s="73"/>
      <c r="AR322" s="73"/>
      <c r="AS322" s="73"/>
      <c r="AT322" s="73"/>
      <c r="AU322" s="24"/>
      <c r="AV322" s="73"/>
      <c r="AW322" s="73"/>
      <c r="AX322" s="73"/>
      <c r="AY322" s="73"/>
      <c r="AZ322" s="24"/>
      <c r="BA322" s="73"/>
      <c r="BB322" s="73"/>
      <c r="BC322" s="73"/>
      <c r="BD322" s="73"/>
      <c r="BE322" s="24"/>
    </row>
    <row r="323" spans="1:57" s="36" customFormat="1">
      <c r="A323" s="69" t="s">
        <v>275</v>
      </c>
      <c r="B323" s="37">
        <v>805</v>
      </c>
      <c r="C323" s="70">
        <v>215</v>
      </c>
      <c r="D323" s="70">
        <v>266</v>
      </c>
      <c r="E323" s="70">
        <v>293</v>
      </c>
      <c r="F323" s="70">
        <f>G323-E323-D323-C323</f>
        <v>159</v>
      </c>
      <c r="G323" s="37">
        <v>933</v>
      </c>
      <c r="H323" s="70">
        <v>302</v>
      </c>
      <c r="I323" s="70">
        <v>321</v>
      </c>
      <c r="J323" s="70">
        <v>316</v>
      </c>
      <c r="K323" s="70">
        <f>L323-J323-I323-H323</f>
        <v>251</v>
      </c>
      <c r="L323" s="37">
        <v>1190</v>
      </c>
      <c r="M323" s="70">
        <v>322</v>
      </c>
      <c r="N323" s="70">
        <v>362</v>
      </c>
      <c r="O323" s="70">
        <v>356</v>
      </c>
      <c r="P323" s="70">
        <f>Q323-O323-N323-M323</f>
        <v>343</v>
      </c>
      <c r="Q323" s="37">
        <v>1383</v>
      </c>
      <c r="R323" s="70">
        <v>399</v>
      </c>
      <c r="S323" s="70">
        <v>357</v>
      </c>
      <c r="T323" s="70">
        <v>342</v>
      </c>
      <c r="U323" s="70">
        <f>V323-T323-S323-R323</f>
        <v>262</v>
      </c>
      <c r="V323" s="37">
        <v>1360</v>
      </c>
      <c r="W323" s="70">
        <v>267</v>
      </c>
      <c r="X323" s="70">
        <v>259</v>
      </c>
      <c r="Y323" s="70">
        <v>199</v>
      </c>
      <c r="Z323" s="70">
        <f>AA323-Y323-X323-W323</f>
        <v>167</v>
      </c>
      <c r="AA323" s="37">
        <v>892</v>
      </c>
      <c r="AB323" s="70">
        <f>AB303-AB306-AB309</f>
        <v>174</v>
      </c>
      <c r="AC323" s="70">
        <f>AC303-AC306-AC309</f>
        <v>186</v>
      </c>
      <c r="AD323" s="70">
        <f>AD303-AD306-AD309</f>
        <v>172</v>
      </c>
      <c r="AE323" s="70">
        <f>AF323-AD323-AC323-AB323</f>
        <v>76</v>
      </c>
      <c r="AF323" s="37">
        <v>608</v>
      </c>
      <c r="AG323" s="70">
        <v>126</v>
      </c>
      <c r="AH323" s="70">
        <v>127</v>
      </c>
      <c r="AI323" s="70">
        <v>122</v>
      </c>
      <c r="AJ323" s="70">
        <v>74</v>
      </c>
      <c r="AK323" s="37">
        <v>449</v>
      </c>
      <c r="AL323" s="70">
        <v>32</v>
      </c>
      <c r="AM323" s="70">
        <v>53</v>
      </c>
      <c r="AN323" s="70">
        <v>61</v>
      </c>
      <c r="AO323" s="70">
        <v>11</v>
      </c>
      <c r="AP323" s="37">
        <v>157</v>
      </c>
      <c r="AQ323" s="70">
        <v>1</v>
      </c>
      <c r="AR323" s="70">
        <v>8</v>
      </c>
      <c r="AS323" s="70">
        <v>27</v>
      </c>
      <c r="AT323" s="220">
        <v>-4</v>
      </c>
      <c r="AU323" s="37">
        <v>32</v>
      </c>
      <c r="AV323" s="70">
        <v>5</v>
      </c>
      <c r="AW323" s="70">
        <v>30</v>
      </c>
      <c r="AX323" s="70">
        <v>22</v>
      </c>
      <c r="AY323" s="70">
        <v>15</v>
      </c>
      <c r="AZ323" s="37">
        <v>72</v>
      </c>
      <c r="BA323" s="70">
        <v>2</v>
      </c>
      <c r="BB323" s="70">
        <v>2</v>
      </c>
      <c r="BC323" s="186">
        <v>-2</v>
      </c>
      <c r="BD323" s="186">
        <v>-4</v>
      </c>
      <c r="BE323" s="178">
        <v>-2</v>
      </c>
    </row>
    <row r="324" spans="1:57">
      <c r="A324" s="71" t="s">
        <v>7</v>
      </c>
      <c r="B324" s="24"/>
      <c r="C324" s="72"/>
      <c r="D324" s="72">
        <f>D323/C323-1</f>
        <v>0.23720930232558146</v>
      </c>
      <c r="E324" s="72">
        <f>E323/D323-1</f>
        <v>0.10150375939849621</v>
      </c>
      <c r="F324" s="72">
        <f>F323/E323-1</f>
        <v>-0.4573378839590444</v>
      </c>
      <c r="G324" s="24"/>
      <c r="H324" s="72">
        <f>H323/F323-1</f>
        <v>0.89937106918238996</v>
      </c>
      <c r="I324" s="72">
        <f>I323/H323-1</f>
        <v>6.29139072847682E-2</v>
      </c>
      <c r="J324" s="72">
        <f>J323/I323-1</f>
        <v>-1.5576323987538943E-2</v>
      </c>
      <c r="K324" s="72">
        <f>K323/J323-1</f>
        <v>-0.20569620253164556</v>
      </c>
      <c r="L324" s="24"/>
      <c r="M324" s="72">
        <f>M323/K323-1</f>
        <v>0.28286852589641431</v>
      </c>
      <c r="N324" s="72">
        <f>N323/M323-1</f>
        <v>0.12422360248447206</v>
      </c>
      <c r="O324" s="72">
        <f>O323/N323-1</f>
        <v>-1.6574585635359074E-2</v>
      </c>
      <c r="P324" s="72">
        <f>P323/O323-1</f>
        <v>-3.6516853932584303E-2</v>
      </c>
      <c r="Q324" s="24"/>
      <c r="R324" s="72">
        <f>R323/P323-1</f>
        <v>0.16326530612244894</v>
      </c>
      <c r="S324" s="72">
        <f>S323/R323-1</f>
        <v>-0.10526315789473684</v>
      </c>
      <c r="T324" s="72">
        <f>T323/S323-1</f>
        <v>-4.2016806722689037E-2</v>
      </c>
      <c r="U324" s="72">
        <f>U323/T323-1</f>
        <v>-0.23391812865497075</v>
      </c>
      <c r="V324" s="24"/>
      <c r="W324" s="72">
        <f>W323/U323-1</f>
        <v>1.9083969465648831E-2</v>
      </c>
      <c r="X324" s="72">
        <f>X323/W323-1</f>
        <v>-2.9962546816479363E-2</v>
      </c>
      <c r="Y324" s="72">
        <f>Y323/X323-1</f>
        <v>-0.23166023166023164</v>
      </c>
      <c r="Z324" s="72">
        <f>Z323/Y323-1</f>
        <v>-0.16080402010050254</v>
      </c>
      <c r="AA324" s="24"/>
      <c r="AB324" s="72">
        <f>AB323/Z323-1</f>
        <v>4.1916167664670656E-2</v>
      </c>
      <c r="AC324" s="72">
        <f>AC323/AB323-1</f>
        <v>6.8965517241379226E-2</v>
      </c>
      <c r="AD324" s="72">
        <f>AD323/AC323-1</f>
        <v>-7.5268817204301119E-2</v>
      </c>
      <c r="AE324" s="72">
        <f>AE323/AD323-1</f>
        <v>-0.55813953488372092</v>
      </c>
      <c r="AF324" s="24"/>
      <c r="AG324" s="72">
        <v>0.65789473684210531</v>
      </c>
      <c r="AH324" s="72">
        <v>7.9365079365079083E-3</v>
      </c>
      <c r="AI324" s="72">
        <v>-3.9370078740157521E-2</v>
      </c>
      <c r="AJ324" s="72">
        <v>-0.39344262295081966</v>
      </c>
      <c r="AK324" s="24"/>
      <c r="AL324" s="72">
        <v>-0.56756756756756754</v>
      </c>
      <c r="AM324" s="72">
        <v>0.65625</v>
      </c>
      <c r="AN324" s="72">
        <v>0.15094339622641506</v>
      </c>
      <c r="AO324" s="72">
        <v>-0.81967213114754101</v>
      </c>
      <c r="AP324" s="24"/>
      <c r="AQ324" s="72">
        <v>-0.90909090909090906</v>
      </c>
      <c r="AR324" s="72">
        <v>7</v>
      </c>
      <c r="AS324" s="72">
        <v>2.375</v>
      </c>
      <c r="AT324" s="72">
        <v>-1.1481481481481481</v>
      </c>
      <c r="AU324" s="24"/>
      <c r="AV324" s="85" t="s">
        <v>43</v>
      </c>
      <c r="AW324" s="72">
        <v>5</v>
      </c>
      <c r="AX324" s="72">
        <v>-0.26666666666666672</v>
      </c>
      <c r="AY324" s="72">
        <v>-0.31818181818181823</v>
      </c>
      <c r="AZ324" s="24"/>
      <c r="BA324" s="72">
        <v>-0.8666666666666667</v>
      </c>
      <c r="BB324" s="72">
        <v>0</v>
      </c>
      <c r="BC324" s="85" t="s">
        <v>43</v>
      </c>
      <c r="BD324" s="72">
        <v>1</v>
      </c>
      <c r="BE324" s="24"/>
    </row>
    <row r="325" spans="1:57">
      <c r="A325" s="71" t="s">
        <v>8</v>
      </c>
      <c r="B325" s="24"/>
      <c r="C325" s="73"/>
      <c r="D325" s="73"/>
      <c r="E325" s="73"/>
      <c r="F325" s="73"/>
      <c r="G325" s="24">
        <f t="shared" ref="G325:N325" si="234">G323/B323-1</f>
        <v>0.15900621118012426</v>
      </c>
      <c r="H325" s="73">
        <f t="shared" si="234"/>
        <v>0.40465116279069768</v>
      </c>
      <c r="I325" s="73">
        <f t="shared" si="234"/>
        <v>0.20676691729323315</v>
      </c>
      <c r="J325" s="73">
        <f t="shared" si="234"/>
        <v>7.8498293515358419E-2</v>
      </c>
      <c r="K325" s="73">
        <f t="shared" si="234"/>
        <v>0.57861635220125796</v>
      </c>
      <c r="L325" s="24">
        <f t="shared" si="234"/>
        <v>0.27545551982851024</v>
      </c>
      <c r="M325" s="73">
        <f t="shared" si="234"/>
        <v>6.6225165562913801E-2</v>
      </c>
      <c r="N325" s="73">
        <f t="shared" si="234"/>
        <v>0.12772585669781922</v>
      </c>
      <c r="O325" s="73">
        <f t="shared" ref="O325:Y325" si="235">O323/J323-1</f>
        <v>0.12658227848101267</v>
      </c>
      <c r="P325" s="73">
        <f t="shared" si="235"/>
        <v>0.36653386454183257</v>
      </c>
      <c r="Q325" s="24">
        <f t="shared" si="235"/>
        <v>0.16218487394957992</v>
      </c>
      <c r="R325" s="73">
        <f t="shared" si="235"/>
        <v>0.23913043478260865</v>
      </c>
      <c r="S325" s="73">
        <f t="shared" si="235"/>
        <v>-1.3812154696132617E-2</v>
      </c>
      <c r="T325" s="73">
        <f t="shared" si="235"/>
        <v>-3.9325842696629199E-2</v>
      </c>
      <c r="U325" s="73">
        <f t="shared" si="235"/>
        <v>-0.23615160349854225</v>
      </c>
      <c r="V325" s="24">
        <f t="shared" si="235"/>
        <v>-1.6630513376717282E-2</v>
      </c>
      <c r="W325" s="73">
        <f t="shared" si="235"/>
        <v>-0.33082706766917291</v>
      </c>
      <c r="X325" s="73">
        <f t="shared" si="235"/>
        <v>-0.27450980392156865</v>
      </c>
      <c r="Y325" s="73">
        <f t="shared" si="235"/>
        <v>-0.41812865497076024</v>
      </c>
      <c r="Z325" s="73">
        <f t="shared" ref="Z325:AE325" si="236">Z323/U323-1</f>
        <v>-0.36259541984732824</v>
      </c>
      <c r="AA325" s="24">
        <f t="shared" si="236"/>
        <v>-0.34411764705882353</v>
      </c>
      <c r="AB325" s="73">
        <f t="shared" si="236"/>
        <v>-0.348314606741573</v>
      </c>
      <c r="AC325" s="73">
        <f t="shared" si="236"/>
        <v>-0.28185328185328185</v>
      </c>
      <c r="AD325" s="73">
        <f t="shared" si="236"/>
        <v>-0.13567839195979903</v>
      </c>
      <c r="AE325" s="73">
        <f t="shared" si="236"/>
        <v>-0.54491017964071853</v>
      </c>
      <c r="AF325" s="24">
        <v>-0.31838565022421528</v>
      </c>
      <c r="AG325" s="73">
        <v>-0.27586206896551724</v>
      </c>
      <c r="AH325" s="73">
        <v>-0.31720430107526887</v>
      </c>
      <c r="AI325" s="73">
        <v>-0.29069767441860461</v>
      </c>
      <c r="AJ325" s="73">
        <v>-2.6315789473684181E-2</v>
      </c>
      <c r="AK325" s="24">
        <v>-0.26151315789473684</v>
      </c>
      <c r="AL325" s="73">
        <v>-0.74603174603174605</v>
      </c>
      <c r="AM325" s="73">
        <v>-0.58267716535433078</v>
      </c>
      <c r="AN325" s="73">
        <v>-0.5</v>
      </c>
      <c r="AO325" s="73">
        <v>-0.85135135135135132</v>
      </c>
      <c r="AP325" s="24">
        <v>-0.65033407572383073</v>
      </c>
      <c r="AQ325" s="73">
        <v>-0.96875</v>
      </c>
      <c r="AR325" s="73">
        <v>-0.84905660377358494</v>
      </c>
      <c r="AS325" s="73">
        <v>-0.55737704918032782</v>
      </c>
      <c r="AT325" s="73">
        <v>-1.3636363636363638</v>
      </c>
      <c r="AU325" s="24">
        <v>-0.79617834394904463</v>
      </c>
      <c r="AV325" s="73">
        <v>4</v>
      </c>
      <c r="AW325" s="73">
        <v>2.75</v>
      </c>
      <c r="AX325" s="73">
        <v>-0.18518518518518523</v>
      </c>
      <c r="AY325" s="73">
        <v>-4.75</v>
      </c>
      <c r="AZ325" s="24">
        <v>1.25</v>
      </c>
      <c r="BA325" s="73">
        <v>-0.6</v>
      </c>
      <c r="BB325" s="73">
        <v>-0.93333333333333335</v>
      </c>
      <c r="BC325" s="73">
        <v>-1.0909090909090908</v>
      </c>
      <c r="BD325" s="85" t="s">
        <v>43</v>
      </c>
      <c r="BE325" s="92" t="s">
        <v>43</v>
      </c>
    </row>
    <row r="326" spans="1:57" s="36" customFormat="1">
      <c r="A326" s="69" t="s">
        <v>41</v>
      </c>
      <c r="B326" s="37">
        <v>585</v>
      </c>
      <c r="C326" s="70">
        <v>163</v>
      </c>
      <c r="D326" s="70">
        <v>180</v>
      </c>
      <c r="E326" s="70">
        <v>211</v>
      </c>
      <c r="F326" s="70">
        <f>G326-E326-D326-C326</f>
        <v>128</v>
      </c>
      <c r="G326" s="37">
        <v>682</v>
      </c>
      <c r="H326" s="70">
        <v>230</v>
      </c>
      <c r="I326" s="70">
        <v>233</v>
      </c>
      <c r="J326" s="70">
        <v>231</v>
      </c>
      <c r="K326" s="70">
        <f>L326-J326-I326-H326</f>
        <v>181</v>
      </c>
      <c r="L326" s="37">
        <v>875</v>
      </c>
      <c r="M326" s="70">
        <v>259</v>
      </c>
      <c r="N326" s="70">
        <v>267</v>
      </c>
      <c r="O326" s="70">
        <v>239</v>
      </c>
      <c r="P326" s="70">
        <f>Q326-O326-N326-M326</f>
        <v>268</v>
      </c>
      <c r="Q326" s="37">
        <v>1033</v>
      </c>
      <c r="R326" s="70">
        <v>310</v>
      </c>
      <c r="S326" s="70">
        <v>279</v>
      </c>
      <c r="T326" s="70">
        <v>263</v>
      </c>
      <c r="U326" s="70">
        <f>V326-T326-S326-R326</f>
        <v>204</v>
      </c>
      <c r="V326" s="37">
        <v>1056</v>
      </c>
      <c r="W326" s="70">
        <v>216</v>
      </c>
      <c r="X326" s="70">
        <v>194</v>
      </c>
      <c r="Y326" s="70">
        <v>154</v>
      </c>
      <c r="Z326" s="70">
        <f>AA326-Y326-X326-W326</f>
        <v>134</v>
      </c>
      <c r="AA326" s="37">
        <v>698</v>
      </c>
      <c r="AB326" s="70">
        <v>153</v>
      </c>
      <c r="AC326" s="70">
        <v>161</v>
      </c>
      <c r="AD326" s="70">
        <v>140</v>
      </c>
      <c r="AE326" s="70">
        <f>AF326-AD326-AC326-AB326</f>
        <v>67</v>
      </c>
      <c r="AF326" s="37">
        <v>521</v>
      </c>
      <c r="AG326" s="70">
        <v>108</v>
      </c>
      <c r="AH326" s="70">
        <v>106</v>
      </c>
      <c r="AI326" s="70">
        <v>100</v>
      </c>
      <c r="AJ326" s="70">
        <v>59</v>
      </c>
      <c r="AK326" s="37">
        <v>373</v>
      </c>
      <c r="AL326" s="70">
        <v>36</v>
      </c>
      <c r="AM326" s="70">
        <v>49</v>
      </c>
      <c r="AN326" s="70">
        <v>55</v>
      </c>
      <c r="AO326" s="70">
        <v>11</v>
      </c>
      <c r="AP326" s="37">
        <v>151</v>
      </c>
      <c r="AQ326" s="70">
        <v>13</v>
      </c>
      <c r="AR326" s="70">
        <v>13</v>
      </c>
      <c r="AS326" s="70">
        <v>32</v>
      </c>
      <c r="AT326" s="70">
        <v>3</v>
      </c>
      <c r="AU326" s="37">
        <v>61</v>
      </c>
      <c r="AV326" s="70">
        <v>16</v>
      </c>
      <c r="AW326" s="70">
        <v>34</v>
      </c>
      <c r="AX326" s="70">
        <v>24</v>
      </c>
      <c r="AY326" s="70">
        <v>21</v>
      </c>
      <c r="AZ326" s="37">
        <v>95</v>
      </c>
      <c r="BA326" s="70">
        <v>9</v>
      </c>
      <c r="BB326" s="70">
        <v>7</v>
      </c>
      <c r="BC326" s="70">
        <v>6</v>
      </c>
      <c r="BD326" s="70">
        <v>2</v>
      </c>
      <c r="BE326" s="37">
        <v>24</v>
      </c>
    </row>
    <row r="327" spans="1:57">
      <c r="A327" s="71" t="s">
        <v>7</v>
      </c>
      <c r="B327" s="24"/>
      <c r="C327" s="72"/>
      <c r="D327" s="72">
        <f>D326/C326-1</f>
        <v>0.10429447852760743</v>
      </c>
      <c r="E327" s="72">
        <f>E326/D326-1</f>
        <v>0.17222222222222228</v>
      </c>
      <c r="F327" s="72">
        <f>F326/E326-1</f>
        <v>-0.39336492890995256</v>
      </c>
      <c r="G327" s="24"/>
      <c r="H327" s="72">
        <f>H326/F326-1</f>
        <v>0.796875</v>
      </c>
      <c r="I327" s="72">
        <f>I326/H326-1</f>
        <v>1.304347826086949E-2</v>
      </c>
      <c r="J327" s="72">
        <f>J326/I326-1</f>
        <v>-8.5836909871244149E-3</v>
      </c>
      <c r="K327" s="72">
        <f>K326/J326-1</f>
        <v>-0.21645021645021645</v>
      </c>
      <c r="L327" s="24"/>
      <c r="M327" s="72">
        <f>M326/K326-1</f>
        <v>0.43093922651933703</v>
      </c>
      <c r="N327" s="72">
        <f>N326/M326-1</f>
        <v>3.0888030888030826E-2</v>
      </c>
      <c r="O327" s="72">
        <f>O326/N326-1</f>
        <v>-0.10486891385767794</v>
      </c>
      <c r="P327" s="72">
        <f>P326/O326-1</f>
        <v>0.12133891213389125</v>
      </c>
      <c r="Q327" s="24"/>
      <c r="R327" s="72">
        <f>R326/P326-1</f>
        <v>0.15671641791044766</v>
      </c>
      <c r="S327" s="72">
        <f>S326/R326-1</f>
        <v>-9.9999999999999978E-2</v>
      </c>
      <c r="T327" s="72">
        <f>T326/S326-1</f>
        <v>-5.7347670250896043E-2</v>
      </c>
      <c r="U327" s="72">
        <f>U326/T326-1</f>
        <v>-0.2243346007604563</v>
      </c>
      <c r="V327" s="24"/>
      <c r="W327" s="72">
        <f>W326/U326-1</f>
        <v>5.8823529411764719E-2</v>
      </c>
      <c r="X327" s="72">
        <f>X326/W326-1</f>
        <v>-0.10185185185185186</v>
      </c>
      <c r="Y327" s="72">
        <f>Y326/X326-1</f>
        <v>-0.20618556701030932</v>
      </c>
      <c r="Z327" s="72">
        <f>Z326/Y326-1</f>
        <v>-0.12987012987012991</v>
      </c>
      <c r="AA327" s="24"/>
      <c r="AB327" s="72">
        <f>AB326/Z326-1</f>
        <v>0.14179104477611948</v>
      </c>
      <c r="AC327" s="72">
        <f>AC326/AB326-1</f>
        <v>5.2287581699346442E-2</v>
      </c>
      <c r="AD327" s="72">
        <f>AD326/AC326-1</f>
        <v>-0.13043478260869568</v>
      </c>
      <c r="AE327" s="72">
        <f>AE326/AD326-1</f>
        <v>-0.52142857142857135</v>
      </c>
      <c r="AF327" s="24"/>
      <c r="AG327" s="72">
        <v>0.61194029850746268</v>
      </c>
      <c r="AH327" s="72">
        <v>-1.851851851851849E-2</v>
      </c>
      <c r="AI327" s="72">
        <v>-5.6603773584905648E-2</v>
      </c>
      <c r="AJ327" s="72">
        <v>-0.41000000000000003</v>
      </c>
      <c r="AK327" s="24"/>
      <c r="AL327" s="72">
        <v>-0.38983050847457623</v>
      </c>
      <c r="AM327" s="72">
        <v>0.36111111111111116</v>
      </c>
      <c r="AN327" s="72">
        <v>0.12244897959183665</v>
      </c>
      <c r="AO327" s="72">
        <v>-0.8</v>
      </c>
      <c r="AP327" s="24"/>
      <c r="AQ327" s="72">
        <v>0.18181818181818188</v>
      </c>
      <c r="AR327" s="72">
        <v>0</v>
      </c>
      <c r="AS327" s="72">
        <v>1.4615384615384617</v>
      </c>
      <c r="AT327" s="72">
        <v>-0.90625</v>
      </c>
      <c r="AU327" s="24"/>
      <c r="AV327" s="72">
        <v>4.333333333333333</v>
      </c>
      <c r="AW327" s="72">
        <v>1.125</v>
      </c>
      <c r="AX327" s="72">
        <v>-0.29411764705882348</v>
      </c>
      <c r="AY327" s="72">
        <v>-0.125</v>
      </c>
      <c r="AZ327" s="24"/>
      <c r="BA327" s="72">
        <v>-0.5714285714285714</v>
      </c>
      <c r="BB327" s="72">
        <v>-0.22222222222222221</v>
      </c>
      <c r="BC327" s="72">
        <v>-0.1428571428571429</v>
      </c>
      <c r="BD327" s="72">
        <v>-0.66666666666666674</v>
      </c>
      <c r="BE327" s="24"/>
    </row>
    <row r="328" spans="1:57">
      <c r="A328" s="71" t="s">
        <v>8</v>
      </c>
      <c r="B328" s="24"/>
      <c r="C328" s="73"/>
      <c r="D328" s="73"/>
      <c r="E328" s="73"/>
      <c r="F328" s="73"/>
      <c r="G328" s="24">
        <f t="shared" ref="G328:N328" si="237">G326/B326-1</f>
        <v>0.16581196581196589</v>
      </c>
      <c r="H328" s="73">
        <f t="shared" si="237"/>
        <v>0.41104294478527614</v>
      </c>
      <c r="I328" s="73">
        <f t="shared" si="237"/>
        <v>0.29444444444444451</v>
      </c>
      <c r="J328" s="73">
        <f t="shared" si="237"/>
        <v>9.4786729857819996E-2</v>
      </c>
      <c r="K328" s="73">
        <f t="shared" si="237"/>
        <v>0.4140625</v>
      </c>
      <c r="L328" s="24">
        <f t="shared" si="237"/>
        <v>0.28299120234604103</v>
      </c>
      <c r="M328" s="73">
        <f t="shared" si="237"/>
        <v>0.12608695652173907</v>
      </c>
      <c r="N328" s="73">
        <f t="shared" si="237"/>
        <v>0.14592274678111594</v>
      </c>
      <c r="O328" s="73">
        <f t="shared" ref="O328:Y328" si="238">O326/J326-1</f>
        <v>3.463203463203457E-2</v>
      </c>
      <c r="P328" s="73">
        <f t="shared" si="238"/>
        <v>0.48066298342541436</v>
      </c>
      <c r="Q328" s="24">
        <f t="shared" si="238"/>
        <v>0.1805714285714286</v>
      </c>
      <c r="R328" s="73">
        <f t="shared" si="238"/>
        <v>0.19691119691119696</v>
      </c>
      <c r="S328" s="73">
        <f t="shared" si="238"/>
        <v>4.4943820224719211E-2</v>
      </c>
      <c r="T328" s="73">
        <f t="shared" si="238"/>
        <v>0.10041841004184104</v>
      </c>
      <c r="U328" s="73">
        <f t="shared" si="238"/>
        <v>-0.23880597014925375</v>
      </c>
      <c r="V328" s="24">
        <f t="shared" si="238"/>
        <v>2.2265246853823806E-2</v>
      </c>
      <c r="W328" s="73">
        <f t="shared" si="238"/>
        <v>-0.3032258064516129</v>
      </c>
      <c r="X328" s="73">
        <f t="shared" si="238"/>
        <v>-0.30465949820788529</v>
      </c>
      <c r="Y328" s="73">
        <f t="shared" si="238"/>
        <v>-0.4144486692015209</v>
      </c>
      <c r="Z328" s="73">
        <f t="shared" ref="Z328:AE328" si="239">Z326/U326-1</f>
        <v>-0.34313725490196079</v>
      </c>
      <c r="AA328" s="24">
        <f t="shared" si="239"/>
        <v>-0.33901515151515149</v>
      </c>
      <c r="AB328" s="73">
        <f t="shared" si="239"/>
        <v>-0.29166666666666663</v>
      </c>
      <c r="AC328" s="73">
        <f t="shared" si="239"/>
        <v>-0.17010309278350511</v>
      </c>
      <c r="AD328" s="73">
        <f t="shared" si="239"/>
        <v>-9.0909090909090939E-2</v>
      </c>
      <c r="AE328" s="73">
        <f t="shared" si="239"/>
        <v>-0.5</v>
      </c>
      <c r="AF328" s="24">
        <v>-0.25358166189111753</v>
      </c>
      <c r="AG328" s="73">
        <v>-0.29411764705882348</v>
      </c>
      <c r="AH328" s="73">
        <v>-0.34161490683229812</v>
      </c>
      <c r="AI328" s="73">
        <v>-0.2857142857142857</v>
      </c>
      <c r="AJ328" s="73">
        <v>-0.11940298507462688</v>
      </c>
      <c r="AK328" s="24">
        <v>-0.28406909788867563</v>
      </c>
      <c r="AL328" s="73">
        <v>-0.66666666666666674</v>
      </c>
      <c r="AM328" s="73">
        <v>-0.53773584905660377</v>
      </c>
      <c r="AN328" s="73">
        <v>-0.44999999999999996</v>
      </c>
      <c r="AO328" s="73">
        <v>-0.81355932203389836</v>
      </c>
      <c r="AP328" s="24">
        <v>-0.5951742627345844</v>
      </c>
      <c r="AQ328" s="73">
        <v>-0.63888888888888884</v>
      </c>
      <c r="AR328" s="73">
        <v>-0.73469387755102034</v>
      </c>
      <c r="AS328" s="73">
        <v>-0.41818181818181821</v>
      </c>
      <c r="AT328" s="73">
        <v>-0.72727272727272729</v>
      </c>
      <c r="AU328" s="24">
        <v>-0.5960264900662251</v>
      </c>
      <c r="AV328" s="73">
        <v>0.23076923076923084</v>
      </c>
      <c r="AW328" s="73">
        <v>1.6153846153846154</v>
      </c>
      <c r="AX328" s="73">
        <v>-0.25</v>
      </c>
      <c r="AY328" s="73">
        <v>6</v>
      </c>
      <c r="AZ328" s="24">
        <v>0.55737704918032782</v>
      </c>
      <c r="BA328" s="73">
        <v>-0.4375</v>
      </c>
      <c r="BB328" s="73">
        <v>-0.79411764705882359</v>
      </c>
      <c r="BC328" s="73">
        <v>-0.75</v>
      </c>
      <c r="BD328" s="73">
        <v>-0.90476190476190477</v>
      </c>
      <c r="BE328" s="24">
        <v>-0.74736842105263157</v>
      </c>
    </row>
    <row r="329" spans="1:57" s="36" customFormat="1">
      <c r="A329" s="69" t="s">
        <v>260</v>
      </c>
      <c r="B329" s="37">
        <f>B312+B323</f>
        <v>1284</v>
      </c>
      <c r="C329" s="77">
        <f>C312+C323</f>
        <v>344</v>
      </c>
      <c r="D329" s="77">
        <f>D312+D323</f>
        <v>396</v>
      </c>
      <c r="E329" s="77">
        <f>E312+E323</f>
        <v>422</v>
      </c>
      <c r="F329" s="70">
        <f>G329-E329-D329-C329</f>
        <v>294</v>
      </c>
      <c r="G329" s="37">
        <f>G312+G323</f>
        <v>1456</v>
      </c>
      <c r="H329" s="77">
        <f>H312+H323</f>
        <v>441</v>
      </c>
      <c r="I329" s="77">
        <f>I312+I323</f>
        <v>472</v>
      </c>
      <c r="J329" s="77">
        <f>J312+J323</f>
        <v>471</v>
      </c>
      <c r="K329" s="70">
        <f>L329-J329-I329-H329</f>
        <v>410</v>
      </c>
      <c r="L329" s="37">
        <v>1794</v>
      </c>
      <c r="M329" s="77">
        <f>M312+M323</f>
        <v>471</v>
      </c>
      <c r="N329" s="77">
        <f>N312+N323</f>
        <v>511</v>
      </c>
      <c r="O329" s="77">
        <f>O312+O323</f>
        <v>505</v>
      </c>
      <c r="P329" s="70">
        <f>Q329-O329-N329-M329</f>
        <v>497</v>
      </c>
      <c r="Q329" s="37">
        <f>Q323+Q312</f>
        <v>1984</v>
      </c>
      <c r="R329" s="77">
        <v>539</v>
      </c>
      <c r="S329" s="77">
        <f>S312+S323</f>
        <v>500</v>
      </c>
      <c r="T329" s="77">
        <f>T312+T323</f>
        <v>481</v>
      </c>
      <c r="U329" s="70">
        <f>V329-T329-S329-R329</f>
        <v>401</v>
      </c>
      <c r="V329" s="37">
        <f>V323+V312</f>
        <v>1921</v>
      </c>
      <c r="W329" s="77">
        <f>W323+W312</f>
        <v>402</v>
      </c>
      <c r="X329" s="77">
        <f>X323+X312</f>
        <v>396</v>
      </c>
      <c r="Y329" s="77">
        <f>Y323+Y312</f>
        <v>329</v>
      </c>
      <c r="Z329" s="70">
        <f>AA329-Y329-X329-W329</f>
        <v>296</v>
      </c>
      <c r="AA329" s="37">
        <f>AA323+AA312</f>
        <v>1423</v>
      </c>
      <c r="AB329" s="77">
        <f>AB323+AB312</f>
        <v>295</v>
      </c>
      <c r="AC329" s="77">
        <f>AC323+AC312</f>
        <v>299</v>
      </c>
      <c r="AD329" s="77">
        <f>AD323+AD312</f>
        <v>283</v>
      </c>
      <c r="AE329" s="70">
        <f>AF329-AD329-AC329-AB329</f>
        <v>188</v>
      </c>
      <c r="AF329" s="37">
        <v>1065</v>
      </c>
      <c r="AG329" s="77">
        <v>232</v>
      </c>
      <c r="AH329" s="77">
        <v>232</v>
      </c>
      <c r="AI329" s="77">
        <v>231</v>
      </c>
      <c r="AJ329" s="70">
        <v>184</v>
      </c>
      <c r="AK329" s="37">
        <v>879</v>
      </c>
      <c r="AL329" s="77">
        <v>136</v>
      </c>
      <c r="AM329" s="77">
        <v>159</v>
      </c>
      <c r="AN329" s="77">
        <v>170</v>
      </c>
      <c r="AO329" s="70">
        <v>111</v>
      </c>
      <c r="AP329" s="37">
        <v>576</v>
      </c>
      <c r="AQ329" s="77">
        <v>105</v>
      </c>
      <c r="AR329" s="77">
        <v>103</v>
      </c>
      <c r="AS329" s="77">
        <v>119</v>
      </c>
      <c r="AT329" s="70">
        <v>85</v>
      </c>
      <c r="AU329" s="37">
        <v>412</v>
      </c>
      <c r="AV329" s="77">
        <v>99</v>
      </c>
      <c r="AW329" s="77">
        <v>129</v>
      </c>
      <c r="AX329" s="77">
        <v>122</v>
      </c>
      <c r="AY329" s="70">
        <v>105</v>
      </c>
      <c r="AZ329" s="37">
        <v>455</v>
      </c>
      <c r="BA329" s="77">
        <v>160</v>
      </c>
      <c r="BB329" s="77">
        <v>161</v>
      </c>
      <c r="BC329" s="77">
        <v>159</v>
      </c>
      <c r="BD329" s="70">
        <v>173</v>
      </c>
      <c r="BE329" s="37">
        <v>653</v>
      </c>
    </row>
    <row r="330" spans="1:57">
      <c r="A330" s="71" t="s">
        <v>7</v>
      </c>
      <c r="B330" s="24"/>
      <c r="C330" s="72"/>
      <c r="D330" s="72">
        <f>D329/C329-1</f>
        <v>0.15116279069767447</v>
      </c>
      <c r="E330" s="72">
        <f>E329/D329-1</f>
        <v>6.5656565656565746E-2</v>
      </c>
      <c r="F330" s="72">
        <f>F329/E329-1</f>
        <v>-0.30331753554502372</v>
      </c>
      <c r="G330" s="24"/>
      <c r="H330" s="72">
        <f>H329/F329-1</f>
        <v>0.5</v>
      </c>
      <c r="I330" s="72">
        <f>I329/H329-1</f>
        <v>7.029478458049887E-2</v>
      </c>
      <c r="J330" s="72">
        <f>J329/I329-1</f>
        <v>-2.1186440677966045E-3</v>
      </c>
      <c r="K330" s="72">
        <f>K329/J329-1</f>
        <v>-0.12951167728237789</v>
      </c>
      <c r="L330" s="24"/>
      <c r="M330" s="72">
        <f>M329/K329-1</f>
        <v>0.14878048780487796</v>
      </c>
      <c r="N330" s="72">
        <f>N329/M329-1</f>
        <v>8.4925690021231404E-2</v>
      </c>
      <c r="O330" s="72">
        <f>O329/N329-1</f>
        <v>-1.1741682974559686E-2</v>
      </c>
      <c r="P330" s="72">
        <f>P329/O329-1</f>
        <v>-1.5841584158415856E-2</v>
      </c>
      <c r="Q330" s="24"/>
      <c r="R330" s="72">
        <f>R329/P329-1</f>
        <v>8.4507042253521236E-2</v>
      </c>
      <c r="S330" s="72">
        <f>S329/R329-1</f>
        <v>-7.235621521335811E-2</v>
      </c>
      <c r="T330" s="72">
        <f>T329/S329-1</f>
        <v>-3.8000000000000034E-2</v>
      </c>
      <c r="U330" s="72">
        <f>U329/T329-1</f>
        <v>-0.16632016632016633</v>
      </c>
      <c r="V330" s="24"/>
      <c r="W330" s="72">
        <f>W329/U329-1</f>
        <v>2.4937655860348684E-3</v>
      </c>
      <c r="X330" s="72">
        <f>X329/W329-1</f>
        <v>-1.4925373134328401E-2</v>
      </c>
      <c r="Y330" s="72">
        <f>Y329/X329-1</f>
        <v>-0.16919191919191923</v>
      </c>
      <c r="Z330" s="72">
        <f>Z329/Y329-1</f>
        <v>-0.10030395136778114</v>
      </c>
      <c r="AA330" s="24"/>
      <c r="AB330" s="72">
        <f>AB329/Z329-1</f>
        <v>-3.3783783783783994E-3</v>
      </c>
      <c r="AC330" s="72">
        <f>AC329/AB329-1</f>
        <v>1.3559322033898313E-2</v>
      </c>
      <c r="AD330" s="72">
        <f>AD329/AC329-1</f>
        <v>-5.3511705685618693E-2</v>
      </c>
      <c r="AE330" s="72">
        <f>AE329/AD329-1</f>
        <v>-0.33568904593639581</v>
      </c>
      <c r="AF330" s="24"/>
      <c r="AG330" s="72">
        <v>0.23404255319148937</v>
      </c>
      <c r="AH330" s="72">
        <v>0</v>
      </c>
      <c r="AI330" s="72">
        <v>-4.3103448275861878E-3</v>
      </c>
      <c r="AJ330" s="72">
        <v>-0.20346320346320346</v>
      </c>
      <c r="AK330" s="24"/>
      <c r="AL330" s="72">
        <v>-0.26086956521739135</v>
      </c>
      <c r="AM330" s="72">
        <v>0.16911764705882359</v>
      </c>
      <c r="AN330" s="72">
        <v>6.9182389937106903E-2</v>
      </c>
      <c r="AO330" s="72">
        <v>-0.34705882352941175</v>
      </c>
      <c r="AP330" s="24"/>
      <c r="AQ330" s="72">
        <v>-5.4054054054054057E-2</v>
      </c>
      <c r="AR330" s="72">
        <v>-1.9047619047619091E-2</v>
      </c>
      <c r="AS330" s="72">
        <v>0.15533980582524265</v>
      </c>
      <c r="AT330" s="72">
        <v>-0.2857142857142857</v>
      </c>
      <c r="AU330" s="24"/>
      <c r="AV330" s="72">
        <v>0.16470588235294126</v>
      </c>
      <c r="AW330" s="72">
        <v>0.30303030303030298</v>
      </c>
      <c r="AX330" s="72">
        <v>-5.4263565891472854E-2</v>
      </c>
      <c r="AY330" s="72">
        <v>-0.13934426229508201</v>
      </c>
      <c r="AZ330" s="24"/>
      <c r="BA330" s="72">
        <v>0.52380952380952372</v>
      </c>
      <c r="BB330" s="72">
        <v>6.2500000000000888E-3</v>
      </c>
      <c r="BC330" s="72">
        <v>-1.2422360248447228E-2</v>
      </c>
      <c r="BD330" s="72">
        <v>8.8050314465408785E-2</v>
      </c>
      <c r="BE330" s="24"/>
    </row>
    <row r="331" spans="1:57">
      <c r="A331" s="71" t="s">
        <v>8</v>
      </c>
      <c r="B331" s="24"/>
      <c r="C331" s="73"/>
      <c r="D331" s="73"/>
      <c r="E331" s="73"/>
      <c r="F331" s="73"/>
      <c r="G331" s="24">
        <f t="shared" ref="G331:N331" si="240">G329/B329-1</f>
        <v>0.13395638629283479</v>
      </c>
      <c r="H331" s="73">
        <f t="shared" si="240"/>
        <v>0.28197674418604657</v>
      </c>
      <c r="I331" s="73">
        <f t="shared" si="240"/>
        <v>0.19191919191919182</v>
      </c>
      <c r="J331" s="73">
        <f t="shared" si="240"/>
        <v>0.11611374407582931</v>
      </c>
      <c r="K331" s="73">
        <f t="shared" si="240"/>
        <v>0.39455782312925169</v>
      </c>
      <c r="L331" s="24">
        <f t="shared" si="240"/>
        <v>0.23214285714285721</v>
      </c>
      <c r="M331" s="73">
        <f t="shared" si="240"/>
        <v>6.8027210884353817E-2</v>
      </c>
      <c r="N331" s="73">
        <f t="shared" si="240"/>
        <v>8.2627118644067687E-2</v>
      </c>
      <c r="O331" s="73">
        <f t="shared" ref="O331:Y331" si="241">O329/J329-1</f>
        <v>7.2186836518046693E-2</v>
      </c>
      <c r="P331" s="73">
        <f t="shared" si="241"/>
        <v>0.21219512195121948</v>
      </c>
      <c r="Q331" s="24">
        <f t="shared" si="241"/>
        <v>0.10590858416945381</v>
      </c>
      <c r="R331" s="73">
        <f t="shared" si="241"/>
        <v>0.14437367303609339</v>
      </c>
      <c r="S331" s="73">
        <f t="shared" si="241"/>
        <v>-2.1526418786692814E-2</v>
      </c>
      <c r="T331" s="73">
        <f t="shared" si="241"/>
        <v>-4.7524752475247567E-2</v>
      </c>
      <c r="U331" s="73">
        <f t="shared" si="241"/>
        <v>-0.19315895372233405</v>
      </c>
      <c r="V331" s="24">
        <f t="shared" si="241"/>
        <v>-3.1754032258064502E-2</v>
      </c>
      <c r="W331" s="73">
        <f t="shared" si="241"/>
        <v>-0.25417439703153988</v>
      </c>
      <c r="X331" s="73">
        <f t="shared" si="241"/>
        <v>-0.20799999999999996</v>
      </c>
      <c r="Y331" s="73">
        <f t="shared" si="241"/>
        <v>-0.31600831600831603</v>
      </c>
      <c r="Z331" s="73">
        <f t="shared" ref="Z331:AE331" si="242">Z329/U329-1</f>
        <v>-0.26184538653366585</v>
      </c>
      <c r="AA331" s="24">
        <f t="shared" si="242"/>
        <v>-0.25923997917751174</v>
      </c>
      <c r="AB331" s="73">
        <f t="shared" si="242"/>
        <v>-0.26616915422885568</v>
      </c>
      <c r="AC331" s="73">
        <f t="shared" si="242"/>
        <v>-0.24494949494949492</v>
      </c>
      <c r="AD331" s="73">
        <f t="shared" si="242"/>
        <v>-0.13981762917933127</v>
      </c>
      <c r="AE331" s="73">
        <f t="shared" si="242"/>
        <v>-0.36486486486486491</v>
      </c>
      <c r="AF331" s="24">
        <v>-0.25158116654954321</v>
      </c>
      <c r="AG331" s="73">
        <v>-0.21355932203389827</v>
      </c>
      <c r="AH331" s="73">
        <v>-0.22408026755852839</v>
      </c>
      <c r="AI331" s="73">
        <v>-0.18374558303886923</v>
      </c>
      <c r="AJ331" s="73">
        <v>-2.1276595744680882E-2</v>
      </c>
      <c r="AK331" s="24">
        <v>-0.17464788732394365</v>
      </c>
      <c r="AL331" s="73">
        <v>-0.41379310344827591</v>
      </c>
      <c r="AM331" s="73">
        <v>-0.31465517241379315</v>
      </c>
      <c r="AN331" s="73">
        <v>-0.26406926406926412</v>
      </c>
      <c r="AO331" s="73">
        <v>-0.39673913043478259</v>
      </c>
      <c r="AP331" s="24">
        <v>-0.34470989761092152</v>
      </c>
      <c r="AQ331" s="73">
        <v>-0.2279411764705882</v>
      </c>
      <c r="AR331" s="73">
        <v>-0.35220125786163525</v>
      </c>
      <c r="AS331" s="73">
        <v>-0.30000000000000004</v>
      </c>
      <c r="AT331" s="73">
        <v>-0.23423423423423428</v>
      </c>
      <c r="AU331" s="24">
        <v>-0.28472222222222221</v>
      </c>
      <c r="AV331" s="73">
        <v>-5.7142857142857162E-2</v>
      </c>
      <c r="AW331" s="73">
        <v>0.25242718446601953</v>
      </c>
      <c r="AX331" s="73">
        <v>2.5210084033613356E-2</v>
      </c>
      <c r="AY331" s="73">
        <v>0.23529411764705888</v>
      </c>
      <c r="AZ331" s="24">
        <v>0.10436893203883502</v>
      </c>
      <c r="BA331" s="73">
        <v>0.61616161616161613</v>
      </c>
      <c r="BB331" s="73">
        <v>0.24806201550387597</v>
      </c>
      <c r="BC331" s="73">
        <v>0.30327868852459017</v>
      </c>
      <c r="BD331" s="73">
        <v>0.64761904761904754</v>
      </c>
      <c r="BE331" s="24">
        <v>0.43516483516483517</v>
      </c>
    </row>
    <row r="332" spans="1:57">
      <c r="A332" s="69" t="s">
        <v>262</v>
      </c>
      <c r="B332" s="24"/>
      <c r="C332" s="73"/>
      <c r="D332" s="73"/>
      <c r="E332" s="73"/>
      <c r="F332" s="73"/>
      <c r="G332" s="24"/>
      <c r="H332" s="73"/>
      <c r="I332" s="73"/>
      <c r="J332" s="73"/>
      <c r="K332" s="73"/>
      <c r="L332" s="24"/>
      <c r="M332" s="73"/>
      <c r="N332" s="73"/>
      <c r="O332" s="73"/>
      <c r="P332" s="73"/>
      <c r="Q332" s="24"/>
      <c r="R332" s="73"/>
      <c r="S332" s="73"/>
      <c r="T332" s="73"/>
      <c r="U332" s="73"/>
      <c r="V332" s="24"/>
      <c r="W332" s="73"/>
      <c r="X332" s="73"/>
      <c r="Y332" s="73"/>
      <c r="Z332" s="73"/>
      <c r="AA332" s="24"/>
      <c r="AB332" s="73"/>
      <c r="AC332" s="73"/>
      <c r="AD332" s="73"/>
      <c r="AE332" s="73"/>
      <c r="AF332" s="24"/>
      <c r="AG332" s="73"/>
      <c r="AH332" s="73"/>
      <c r="AI332" s="73"/>
      <c r="AJ332" s="73"/>
      <c r="AK332" s="24"/>
      <c r="AL332" s="73"/>
      <c r="AM332" s="73"/>
      <c r="AN332" s="73"/>
      <c r="AO332" s="73"/>
      <c r="AP332" s="24"/>
      <c r="AQ332" s="73"/>
      <c r="AR332" s="73"/>
      <c r="AS332" s="73"/>
      <c r="AT332" s="73"/>
      <c r="AU332" s="24"/>
      <c r="AV332" s="73"/>
      <c r="AW332" s="73"/>
      <c r="AX332" s="73"/>
      <c r="AY332" s="73"/>
      <c r="AZ332" s="24"/>
      <c r="BA332" s="77">
        <v>98</v>
      </c>
      <c r="BB332" s="77">
        <v>98</v>
      </c>
      <c r="BC332" s="77">
        <v>96</v>
      </c>
      <c r="BD332" s="70">
        <v>101</v>
      </c>
      <c r="BE332" s="37">
        <v>393</v>
      </c>
    </row>
    <row r="333" spans="1:57">
      <c r="A333" s="40" t="s">
        <v>26</v>
      </c>
      <c r="B333" s="41"/>
      <c r="C333" s="53"/>
      <c r="D333" s="53"/>
      <c r="E333" s="53"/>
      <c r="F333" s="53"/>
      <c r="G333" s="41"/>
      <c r="H333" s="53"/>
      <c r="I333" s="53"/>
      <c r="J333" s="53"/>
      <c r="K333" s="53"/>
      <c r="L333" s="41"/>
      <c r="M333" s="53"/>
      <c r="N333" s="53"/>
      <c r="O333" s="53"/>
      <c r="P333" s="53"/>
      <c r="Q333" s="41"/>
      <c r="R333" s="53"/>
      <c r="S333" s="53"/>
      <c r="T333" s="53"/>
      <c r="U333" s="53"/>
      <c r="V333" s="41"/>
      <c r="W333" s="53"/>
      <c r="X333" s="53"/>
      <c r="Y333" s="53"/>
      <c r="Z333" s="53"/>
      <c r="AA333" s="41"/>
      <c r="AB333" s="53"/>
      <c r="AC333" s="53"/>
      <c r="AD333" s="53"/>
      <c r="AE333" s="53"/>
      <c r="AF333" s="41"/>
      <c r="AG333" s="53"/>
      <c r="AH333" s="53"/>
      <c r="AI333" s="53"/>
      <c r="AJ333" s="53"/>
      <c r="AK333" s="41"/>
      <c r="AL333" s="53"/>
      <c r="AM333" s="53"/>
      <c r="AN333" s="53"/>
      <c r="AO333" s="53"/>
      <c r="AP333" s="41"/>
      <c r="AQ333" s="53"/>
      <c r="AR333" s="53"/>
      <c r="AS333" s="53"/>
      <c r="AT333" s="53"/>
      <c r="AU333" s="41"/>
      <c r="AV333" s="53"/>
      <c r="AW333" s="53"/>
      <c r="AX333" s="53"/>
      <c r="AY333" s="53"/>
      <c r="AZ333" s="41"/>
      <c r="BA333" s="53"/>
      <c r="BB333" s="53"/>
      <c r="BC333" s="53"/>
      <c r="BD333" s="53"/>
      <c r="BE333" s="41"/>
    </row>
    <row r="334" spans="1:57" s="36" customFormat="1">
      <c r="A334" s="69" t="s">
        <v>12</v>
      </c>
      <c r="B334" s="65">
        <v>1228</v>
      </c>
      <c r="C334" s="70">
        <v>256</v>
      </c>
      <c r="D334" s="70">
        <v>344</v>
      </c>
      <c r="E334" s="70">
        <v>379</v>
      </c>
      <c r="F334" s="70">
        <f>G334-E334-D334-C334</f>
        <v>298</v>
      </c>
      <c r="G334" s="65">
        <v>1277</v>
      </c>
      <c r="H334" s="70">
        <v>375</v>
      </c>
      <c r="I334" s="70">
        <v>290</v>
      </c>
      <c r="J334" s="70">
        <v>395</v>
      </c>
      <c r="K334" s="70">
        <f>L334-J334-I334-H334</f>
        <v>55</v>
      </c>
      <c r="L334" s="65">
        <v>1115</v>
      </c>
      <c r="M334" s="70">
        <v>350</v>
      </c>
      <c r="N334" s="70">
        <v>378</v>
      </c>
      <c r="O334" s="70">
        <v>400</v>
      </c>
      <c r="P334" s="70">
        <f>Q334-O334-N334-M334</f>
        <v>91</v>
      </c>
      <c r="Q334" s="65">
        <v>1219</v>
      </c>
      <c r="R334" s="70">
        <v>308</v>
      </c>
      <c r="S334" s="70">
        <v>101</v>
      </c>
      <c r="T334" s="70">
        <v>168</v>
      </c>
      <c r="U334" s="70">
        <f>V334-T334-S334-R334</f>
        <v>223</v>
      </c>
      <c r="V334" s="65">
        <v>800</v>
      </c>
      <c r="W334" s="70">
        <v>294</v>
      </c>
      <c r="X334" s="70">
        <v>556</v>
      </c>
      <c r="Y334" s="70">
        <v>490</v>
      </c>
      <c r="Z334" s="70">
        <f>AA334-Y334-X334-W334</f>
        <v>388</v>
      </c>
      <c r="AA334" s="65">
        <v>1728</v>
      </c>
      <c r="AB334" s="70">
        <v>354</v>
      </c>
      <c r="AC334" s="70">
        <v>468</v>
      </c>
      <c r="AD334" s="70">
        <v>442</v>
      </c>
      <c r="AE334" s="70">
        <f>AF334-AD334-AC334-AB334</f>
        <v>327</v>
      </c>
      <c r="AF334" s="65">
        <v>1591</v>
      </c>
      <c r="AG334" s="70">
        <v>349</v>
      </c>
      <c r="AH334" s="70">
        <v>420</v>
      </c>
      <c r="AI334" s="70">
        <v>286</v>
      </c>
      <c r="AJ334" s="70">
        <v>158</v>
      </c>
      <c r="AK334" s="65">
        <v>1213</v>
      </c>
      <c r="AL334" s="70">
        <v>351</v>
      </c>
      <c r="AM334" s="70">
        <v>202</v>
      </c>
      <c r="AN334" s="70">
        <v>163</v>
      </c>
      <c r="AO334" s="70">
        <v>14</v>
      </c>
      <c r="AP334" s="65">
        <v>730</v>
      </c>
      <c r="AQ334" s="70">
        <v>185</v>
      </c>
      <c r="AR334" s="70">
        <v>180</v>
      </c>
      <c r="AS334" s="70">
        <v>152</v>
      </c>
      <c r="AT334" s="70">
        <v>65</v>
      </c>
      <c r="AU334" s="65">
        <v>582</v>
      </c>
      <c r="AV334" s="70">
        <v>117</v>
      </c>
      <c r="AW334" s="70">
        <v>193</v>
      </c>
      <c r="AX334" s="70">
        <v>209</v>
      </c>
      <c r="AY334" s="70">
        <v>86</v>
      </c>
      <c r="AZ334" s="65">
        <v>605</v>
      </c>
      <c r="BA334" s="70">
        <v>239</v>
      </c>
      <c r="BB334" s="70">
        <v>181</v>
      </c>
      <c r="BC334" s="70">
        <v>194</v>
      </c>
      <c r="BD334" s="70">
        <v>156</v>
      </c>
      <c r="BE334" s="65">
        <v>770</v>
      </c>
    </row>
    <row r="335" spans="1:57">
      <c r="A335" s="82" t="s">
        <v>7</v>
      </c>
      <c r="B335" s="24"/>
      <c r="C335" s="72"/>
      <c r="D335" s="72">
        <f>D334/C334-1</f>
        <v>0.34375</v>
      </c>
      <c r="E335" s="72">
        <f>E334/D334-1</f>
        <v>0.10174418604651159</v>
      </c>
      <c r="F335" s="72">
        <f>F334/E334-1</f>
        <v>-0.21372031662269131</v>
      </c>
      <c r="G335" s="24"/>
      <c r="H335" s="72">
        <f>H334/F334-1</f>
        <v>0.25838926174496635</v>
      </c>
      <c r="I335" s="72">
        <f>I334/H334-1</f>
        <v>-0.22666666666666668</v>
      </c>
      <c r="J335" s="72">
        <f>J334/I334-1</f>
        <v>0.36206896551724133</v>
      </c>
      <c r="K335" s="72">
        <f>K334/J334-1</f>
        <v>-0.86075949367088611</v>
      </c>
      <c r="L335" s="24"/>
      <c r="M335" s="72">
        <f>M334/K334-1</f>
        <v>5.3636363636363633</v>
      </c>
      <c r="N335" s="72">
        <f>N334/M334-1</f>
        <v>8.0000000000000071E-2</v>
      </c>
      <c r="O335" s="72">
        <f>O334/N334-1</f>
        <v>5.8201058201058142E-2</v>
      </c>
      <c r="P335" s="72">
        <f>P334/O334-1</f>
        <v>-0.77249999999999996</v>
      </c>
      <c r="Q335" s="24"/>
      <c r="R335" s="72">
        <f>R334/P334-1</f>
        <v>2.3846153846153846</v>
      </c>
      <c r="S335" s="72">
        <f>S334/R334-1</f>
        <v>-0.67207792207792205</v>
      </c>
      <c r="T335" s="72">
        <f>T334/S334-1</f>
        <v>0.66336633663366329</v>
      </c>
      <c r="U335" s="72">
        <f>U334/T334-1</f>
        <v>0.32738095238095233</v>
      </c>
      <c r="V335" s="24"/>
      <c r="W335" s="72">
        <f>W334/U334-1</f>
        <v>0.31838565022421528</v>
      </c>
      <c r="X335" s="72">
        <f>X334/W334-1</f>
        <v>0.89115646258503411</v>
      </c>
      <c r="Y335" s="72">
        <f>Y334/X334-1</f>
        <v>-0.11870503597122306</v>
      </c>
      <c r="Z335" s="72">
        <f>Z334/Y334-1</f>
        <v>-0.2081632653061225</v>
      </c>
      <c r="AA335" s="24"/>
      <c r="AB335" s="72">
        <f>AB334/Z334-1</f>
        <v>-8.7628865979381465E-2</v>
      </c>
      <c r="AC335" s="72">
        <f>AC334/AB334-1</f>
        <v>0.32203389830508478</v>
      </c>
      <c r="AD335" s="72">
        <f>AD334/AC334-1</f>
        <v>-5.555555555555558E-2</v>
      </c>
      <c r="AE335" s="72">
        <f>AE334/AD334-1</f>
        <v>-0.26018099547511309</v>
      </c>
      <c r="AF335" s="24"/>
      <c r="AG335" s="72">
        <v>6.7278287461773667E-2</v>
      </c>
      <c r="AH335" s="72">
        <v>0.20343839541547282</v>
      </c>
      <c r="AI335" s="72">
        <v>-0.31904761904761902</v>
      </c>
      <c r="AJ335" s="72">
        <v>-0.44755244755244761</v>
      </c>
      <c r="AK335" s="24"/>
      <c r="AL335" s="72">
        <v>1.221518987341772</v>
      </c>
      <c r="AM335" s="72">
        <v>-0.42450142450142447</v>
      </c>
      <c r="AN335" s="72">
        <v>-0.19306930693069302</v>
      </c>
      <c r="AO335" s="72">
        <v>-0.91411042944785281</v>
      </c>
      <c r="AP335" s="24"/>
      <c r="AQ335" s="72">
        <v>12.214285714285714</v>
      </c>
      <c r="AR335" s="72">
        <v>-2.7027027027026973E-2</v>
      </c>
      <c r="AS335" s="72">
        <v>-0.15555555555555556</v>
      </c>
      <c r="AT335" s="72">
        <v>-0.57236842105263164</v>
      </c>
      <c r="AU335" s="24"/>
      <c r="AV335" s="72">
        <v>0.8</v>
      </c>
      <c r="AW335" s="72">
        <v>0.64957264957264949</v>
      </c>
      <c r="AX335" s="72">
        <v>8.290155440414515E-2</v>
      </c>
      <c r="AY335" s="72">
        <v>-0.58851674641148333</v>
      </c>
      <c r="AZ335" s="24"/>
      <c r="BA335" s="72">
        <v>1.7790697674418605</v>
      </c>
      <c r="BB335" s="72">
        <v>-0.24267782426778239</v>
      </c>
      <c r="BC335" s="72">
        <v>7.182320441988943E-2</v>
      </c>
      <c r="BD335" s="72">
        <v>-0.19587628865979378</v>
      </c>
      <c r="BE335" s="24"/>
    </row>
    <row r="336" spans="1:57">
      <c r="A336" s="82" t="s">
        <v>8</v>
      </c>
      <c r="B336" s="24"/>
      <c r="C336" s="73"/>
      <c r="D336" s="73"/>
      <c r="E336" s="73"/>
      <c r="F336" s="73"/>
      <c r="G336" s="24">
        <f t="shared" ref="G336:N336" si="243">G334/B334-1</f>
        <v>3.9902280130293066E-2</v>
      </c>
      <c r="H336" s="73">
        <f t="shared" si="243"/>
        <v>0.46484375</v>
      </c>
      <c r="I336" s="73">
        <f t="shared" si="243"/>
        <v>-0.15697674418604646</v>
      </c>
      <c r="J336" s="73">
        <f t="shared" si="243"/>
        <v>4.2216358839050061E-2</v>
      </c>
      <c r="K336" s="73">
        <f t="shared" si="243"/>
        <v>-0.81543624161073824</v>
      </c>
      <c r="L336" s="24">
        <f t="shared" si="243"/>
        <v>-0.12685982772122162</v>
      </c>
      <c r="M336" s="73">
        <f t="shared" si="243"/>
        <v>-6.6666666666666652E-2</v>
      </c>
      <c r="N336" s="73">
        <f t="shared" si="243"/>
        <v>0.30344827586206891</v>
      </c>
      <c r="O336" s="73">
        <f t="shared" ref="O336:Y336" si="244">O334/J334-1</f>
        <v>1.2658227848101333E-2</v>
      </c>
      <c r="P336" s="73">
        <f t="shared" si="244"/>
        <v>0.65454545454545454</v>
      </c>
      <c r="Q336" s="24">
        <f t="shared" si="244"/>
        <v>9.3273542600896819E-2</v>
      </c>
      <c r="R336" s="73">
        <f t="shared" si="244"/>
        <v>-0.12</v>
      </c>
      <c r="S336" s="73">
        <f t="shared" si="244"/>
        <v>-0.73280423280423279</v>
      </c>
      <c r="T336" s="73">
        <f t="shared" si="244"/>
        <v>-0.58000000000000007</v>
      </c>
      <c r="U336" s="73">
        <f t="shared" si="244"/>
        <v>1.4505494505494507</v>
      </c>
      <c r="V336" s="24">
        <f t="shared" si="244"/>
        <v>-0.34372436423297781</v>
      </c>
      <c r="W336" s="73">
        <f t="shared" si="244"/>
        <v>-4.5454545454545414E-2</v>
      </c>
      <c r="X336" s="73">
        <f t="shared" si="244"/>
        <v>4.5049504950495045</v>
      </c>
      <c r="Y336" s="73">
        <f t="shared" si="244"/>
        <v>1.9166666666666665</v>
      </c>
      <c r="Z336" s="73">
        <f t="shared" ref="Z336:AE336" si="245">Z334/U334-1</f>
        <v>0.73991031390134521</v>
      </c>
      <c r="AA336" s="24">
        <f t="shared" si="245"/>
        <v>1.1600000000000001</v>
      </c>
      <c r="AB336" s="73">
        <f t="shared" si="245"/>
        <v>0.20408163265306123</v>
      </c>
      <c r="AC336" s="73">
        <f t="shared" si="245"/>
        <v>-0.15827338129496404</v>
      </c>
      <c r="AD336" s="73">
        <f t="shared" si="245"/>
        <v>-9.7959183673469341E-2</v>
      </c>
      <c r="AE336" s="73">
        <f t="shared" si="245"/>
        <v>-0.15721649484536082</v>
      </c>
      <c r="AF336" s="24">
        <v>-7.928240740740744E-2</v>
      </c>
      <c r="AG336" s="73">
        <v>-1.4124293785310771E-2</v>
      </c>
      <c r="AH336" s="73">
        <v>-0.10256410256410253</v>
      </c>
      <c r="AI336" s="73">
        <v>-0.3529411764705882</v>
      </c>
      <c r="AJ336" s="73">
        <v>-0.51681957186544336</v>
      </c>
      <c r="AK336" s="24">
        <v>-0.23758642363293525</v>
      </c>
      <c r="AL336" s="73">
        <v>5.7306590257879542E-3</v>
      </c>
      <c r="AM336" s="73">
        <v>-0.51904761904761898</v>
      </c>
      <c r="AN336" s="73">
        <v>-0.43006993006993011</v>
      </c>
      <c r="AO336" s="73">
        <v>-0.91139240506329111</v>
      </c>
      <c r="AP336" s="24">
        <v>-0.39818631492168177</v>
      </c>
      <c r="AQ336" s="73">
        <v>-0.47293447293447288</v>
      </c>
      <c r="AR336" s="73">
        <v>-0.1089108910891089</v>
      </c>
      <c r="AS336" s="73">
        <v>-6.7484662576687171E-2</v>
      </c>
      <c r="AT336" s="73">
        <v>3.6428571428571432</v>
      </c>
      <c r="AU336" s="24">
        <v>-0.20273972602739732</v>
      </c>
      <c r="AV336" s="73">
        <v>-0.36756756756756759</v>
      </c>
      <c r="AW336" s="73">
        <v>7.2222222222222188E-2</v>
      </c>
      <c r="AX336" s="73">
        <v>0.375</v>
      </c>
      <c r="AY336" s="73">
        <v>0.32307692307692304</v>
      </c>
      <c r="AZ336" s="24">
        <v>3.9518900343642693E-2</v>
      </c>
      <c r="BA336" s="73">
        <v>1.0427350427350426</v>
      </c>
      <c r="BB336" s="73">
        <v>-6.2176165803108807E-2</v>
      </c>
      <c r="BC336" s="73">
        <v>-7.1770334928229707E-2</v>
      </c>
      <c r="BD336" s="73">
        <v>0.81395348837209291</v>
      </c>
      <c r="BE336" s="24">
        <v>0.27272727272727271</v>
      </c>
    </row>
    <row r="337" spans="1:57" hidden="1">
      <c r="A337" s="69" t="s">
        <v>49</v>
      </c>
      <c r="B337" s="37">
        <f>433+7</f>
        <v>440</v>
      </c>
      <c r="C337" s="70">
        <v>108</v>
      </c>
      <c r="D337" s="70">
        <v>374</v>
      </c>
      <c r="E337" s="70">
        <v>172</v>
      </c>
      <c r="F337" s="70">
        <f>G337-E337-D337-C337</f>
        <v>257</v>
      </c>
      <c r="G337" s="37">
        <f>302+609</f>
        <v>911</v>
      </c>
      <c r="H337" s="70">
        <v>165</v>
      </c>
      <c r="I337" s="70">
        <v>127</v>
      </c>
      <c r="J337" s="70">
        <v>107</v>
      </c>
      <c r="K337" s="70">
        <f>L337-J337-I337-H337</f>
        <v>109</v>
      </c>
      <c r="L337" s="37">
        <v>508</v>
      </c>
      <c r="M337" s="70">
        <v>110</v>
      </c>
      <c r="N337" s="70">
        <v>112</v>
      </c>
      <c r="O337" s="70">
        <v>99</v>
      </c>
      <c r="P337" s="70">
        <v>110</v>
      </c>
      <c r="Q337" s="37">
        <f>P337+O337+N337+M337</f>
        <v>431</v>
      </c>
      <c r="R337" s="70">
        <v>122</v>
      </c>
      <c r="S337" s="70">
        <v>109</v>
      </c>
      <c r="T337" s="70">
        <v>98</v>
      </c>
      <c r="U337" s="70">
        <f>V337-T337-S337-R337</f>
        <v>113</v>
      </c>
      <c r="V337" s="37">
        <v>442</v>
      </c>
      <c r="W337" s="70">
        <v>121</v>
      </c>
      <c r="X337" s="70">
        <v>113</v>
      </c>
      <c r="Y337" s="70">
        <v>77</v>
      </c>
      <c r="Z337" s="70">
        <f>AA337-Y337-X337-W337</f>
        <v>86</v>
      </c>
      <c r="AA337" s="37">
        <f>342+55</f>
        <v>397</v>
      </c>
      <c r="AB337" s="70">
        <v>56</v>
      </c>
      <c r="AC337" s="70">
        <v>91</v>
      </c>
      <c r="AD337" s="70">
        <v>94</v>
      </c>
      <c r="AE337" s="70">
        <v>94</v>
      </c>
      <c r="AF337" s="37">
        <v>335</v>
      </c>
      <c r="AG337" s="70">
        <v>67</v>
      </c>
      <c r="AH337" s="70">
        <v>96</v>
      </c>
      <c r="AI337" s="70">
        <v>87</v>
      </c>
      <c r="AJ337" s="70">
        <v>89</v>
      </c>
      <c r="AK337" s="37">
        <v>339</v>
      </c>
      <c r="AL337" s="70">
        <v>97</v>
      </c>
      <c r="AM337" s="70">
        <v>196</v>
      </c>
      <c r="AN337" s="70">
        <v>70</v>
      </c>
      <c r="AO337" s="70">
        <v>56</v>
      </c>
      <c r="AP337" s="37">
        <v>419</v>
      </c>
      <c r="AQ337" s="70">
        <v>57</v>
      </c>
      <c r="AR337" s="70">
        <v>77</v>
      </c>
      <c r="AS337" s="70">
        <v>66</v>
      </c>
      <c r="AT337" s="70"/>
      <c r="AU337" s="37"/>
      <c r="AV337" s="70">
        <v>57</v>
      </c>
      <c r="AW337" s="70">
        <v>57</v>
      </c>
      <c r="AX337" s="70">
        <v>57</v>
      </c>
      <c r="AY337" s="70"/>
      <c r="AZ337" s="37"/>
      <c r="BA337" s="70">
        <v>57</v>
      </c>
      <c r="BB337" s="70">
        <v>57</v>
      </c>
      <c r="BC337" s="70">
        <v>57</v>
      </c>
      <c r="BD337" s="70"/>
      <c r="BE337" s="37"/>
    </row>
    <row r="338" spans="1:57" hidden="1">
      <c r="A338" s="71" t="s">
        <v>7</v>
      </c>
      <c r="B338" s="24"/>
      <c r="C338" s="72"/>
      <c r="D338" s="72">
        <f>D337/C337-1</f>
        <v>2.4629629629629628</v>
      </c>
      <c r="E338" s="72">
        <f>E337/D337-1</f>
        <v>-0.54010695187165769</v>
      </c>
      <c r="F338" s="72">
        <f>F337/E337-1</f>
        <v>0.4941860465116279</v>
      </c>
      <c r="G338" s="24"/>
      <c r="H338" s="72">
        <f>H337/F337-1</f>
        <v>-0.357976653696498</v>
      </c>
      <c r="I338" s="72">
        <f>I337/H337-1</f>
        <v>-0.23030303030303034</v>
      </c>
      <c r="J338" s="72">
        <f>J337/I337-1</f>
        <v>-0.15748031496062997</v>
      </c>
      <c r="K338" s="72">
        <f>K337/J337-1</f>
        <v>1.8691588785046731E-2</v>
      </c>
      <c r="L338" s="24"/>
      <c r="M338" s="72">
        <f>M337/K337-1</f>
        <v>9.1743119266054496E-3</v>
      </c>
      <c r="N338" s="72">
        <f>N337/M337-1</f>
        <v>1.8181818181818077E-2</v>
      </c>
      <c r="O338" s="72">
        <f>O337/N337-1</f>
        <v>-0.1160714285714286</v>
      </c>
      <c r="P338" s="72">
        <f>P337/O337-1</f>
        <v>0.11111111111111116</v>
      </c>
      <c r="Q338" s="24"/>
      <c r="R338" s="72">
        <f>R337/P337-1</f>
        <v>0.10909090909090913</v>
      </c>
      <c r="S338" s="72">
        <f>S337/R337-1</f>
        <v>-0.10655737704918034</v>
      </c>
      <c r="T338" s="72">
        <f>T337/S337-1</f>
        <v>-0.1009174311926605</v>
      </c>
      <c r="U338" s="72">
        <f>U337/T337-1</f>
        <v>0.15306122448979598</v>
      </c>
      <c r="V338" s="24"/>
      <c r="W338" s="72">
        <f>W337/U337-1</f>
        <v>7.079646017699126E-2</v>
      </c>
      <c r="X338" s="72">
        <f>X337/W337-1</f>
        <v>-6.6115702479338845E-2</v>
      </c>
      <c r="Y338" s="72">
        <f>Y337/X337-1</f>
        <v>-0.31858407079646023</v>
      </c>
      <c r="Z338" s="72">
        <f>Z337/Y337-1</f>
        <v>0.11688311688311681</v>
      </c>
      <c r="AA338" s="24"/>
      <c r="AB338" s="72">
        <f>AB337/Z337-1</f>
        <v>-0.34883720930232553</v>
      </c>
      <c r="AC338" s="72">
        <f>AC337/AB337-1</f>
        <v>0.625</v>
      </c>
      <c r="AD338" s="72">
        <f>AD337/AC337-1</f>
        <v>3.2967032967033072E-2</v>
      </c>
      <c r="AE338" s="72">
        <f>AE337/AD337-1</f>
        <v>0</v>
      </c>
      <c r="AF338" s="24"/>
      <c r="AG338" s="72">
        <v>-0.28723404255319152</v>
      </c>
      <c r="AH338" s="72">
        <v>0.43283582089552231</v>
      </c>
      <c r="AI338" s="72">
        <v>-9.375E-2</v>
      </c>
      <c r="AJ338" s="72">
        <v>2.2988505747126409E-2</v>
      </c>
      <c r="AK338" s="24"/>
      <c r="AL338" s="72">
        <v>8.98876404494382E-2</v>
      </c>
      <c r="AM338" s="72">
        <v>1.0206185567010309</v>
      </c>
      <c r="AN338" s="72">
        <v>-0.64285714285714279</v>
      </c>
      <c r="AO338" s="72">
        <v>-0.19999999999999996</v>
      </c>
      <c r="AP338" s="24"/>
      <c r="AQ338" s="72">
        <v>1.7857142857142794E-2</v>
      </c>
      <c r="AR338" s="72">
        <v>0.35087719298245612</v>
      </c>
      <c r="AS338" s="72">
        <v>-0.1428571428571429</v>
      </c>
      <c r="AT338" s="72"/>
      <c r="AU338" s="24"/>
      <c r="AV338" s="72" t="e">
        <v>#DIV/0!</v>
      </c>
      <c r="AW338" s="72" t="e">
        <v>#DIV/0!</v>
      </c>
      <c r="AX338" s="72">
        <v>0</v>
      </c>
      <c r="AY338" s="72"/>
      <c r="AZ338" s="24"/>
      <c r="BA338" s="72" t="e">
        <v>#DIV/0!</v>
      </c>
      <c r="BB338" s="72" t="e">
        <v>#DIV/0!</v>
      </c>
      <c r="BC338" s="72">
        <v>0</v>
      </c>
      <c r="BD338" s="72"/>
      <c r="BE338" s="24"/>
    </row>
    <row r="339" spans="1:57" hidden="1">
      <c r="A339" s="71" t="s">
        <v>8</v>
      </c>
      <c r="B339" s="24"/>
      <c r="C339" s="73"/>
      <c r="D339" s="73"/>
      <c r="E339" s="73"/>
      <c r="F339" s="73"/>
      <c r="G339" s="24">
        <f t="shared" ref="G339:N339" si="246">G337/B337-1</f>
        <v>1.0704545454545453</v>
      </c>
      <c r="H339" s="73">
        <f t="shared" si="246"/>
        <v>0.52777777777777768</v>
      </c>
      <c r="I339" s="73">
        <f t="shared" si="246"/>
        <v>-0.66042780748663099</v>
      </c>
      <c r="J339" s="73">
        <f t="shared" si="246"/>
        <v>-0.37790697674418605</v>
      </c>
      <c r="K339" s="73">
        <f t="shared" si="246"/>
        <v>-0.57587548638132291</v>
      </c>
      <c r="L339" s="24">
        <f t="shared" si="246"/>
        <v>-0.44237102085620195</v>
      </c>
      <c r="M339" s="73">
        <f t="shared" si="246"/>
        <v>-0.33333333333333337</v>
      </c>
      <c r="N339" s="73">
        <f t="shared" si="246"/>
        <v>-0.11811023622047245</v>
      </c>
      <c r="O339" s="73">
        <f t="shared" ref="O339:Y339" si="247">O337/J337-1</f>
        <v>-7.4766355140186924E-2</v>
      </c>
      <c r="P339" s="73">
        <f t="shared" si="247"/>
        <v>9.1743119266054496E-3</v>
      </c>
      <c r="Q339" s="24">
        <f t="shared" si="247"/>
        <v>-0.15157480314960625</v>
      </c>
      <c r="R339" s="73">
        <f t="shared" si="247"/>
        <v>0.10909090909090913</v>
      </c>
      <c r="S339" s="73">
        <f t="shared" si="247"/>
        <v>-2.6785714285714302E-2</v>
      </c>
      <c r="T339" s="73">
        <f t="shared" si="247"/>
        <v>-1.0101010101010055E-2</v>
      </c>
      <c r="U339" s="73">
        <f t="shared" si="247"/>
        <v>2.7272727272727337E-2</v>
      </c>
      <c r="V339" s="24">
        <f t="shared" si="247"/>
        <v>2.5522041763341052E-2</v>
      </c>
      <c r="W339" s="73">
        <f t="shared" si="247"/>
        <v>-8.1967213114754189E-3</v>
      </c>
      <c r="X339" s="73">
        <f t="shared" si="247"/>
        <v>3.669724770642202E-2</v>
      </c>
      <c r="Y339" s="73">
        <f t="shared" si="247"/>
        <v>-0.2142857142857143</v>
      </c>
      <c r="Z339" s="73">
        <f t="shared" ref="Z339:AE339" si="248">Z337/U337-1</f>
        <v>-0.23893805309734517</v>
      </c>
      <c r="AA339" s="24">
        <f t="shared" si="248"/>
        <v>-0.10180995475113119</v>
      </c>
      <c r="AB339" s="73">
        <f t="shared" si="248"/>
        <v>-0.53719008264462809</v>
      </c>
      <c r="AC339" s="73">
        <f t="shared" si="248"/>
        <v>-0.19469026548672563</v>
      </c>
      <c r="AD339" s="73">
        <f t="shared" si="248"/>
        <v>0.22077922077922074</v>
      </c>
      <c r="AE339" s="73">
        <f t="shared" si="248"/>
        <v>9.3023255813953432E-2</v>
      </c>
      <c r="AF339" s="24">
        <v>-0.15617128463476071</v>
      </c>
      <c r="AG339" s="73">
        <v>0.1964285714285714</v>
      </c>
      <c r="AH339" s="73">
        <v>5.4945054945054972E-2</v>
      </c>
      <c r="AI339" s="73">
        <v>-7.4468085106383031E-2</v>
      </c>
      <c r="AJ339" s="73">
        <v>-5.3191489361702149E-2</v>
      </c>
      <c r="AK339" s="24">
        <v>1.1940298507462588E-2</v>
      </c>
      <c r="AL339" s="73">
        <v>0.44776119402985071</v>
      </c>
      <c r="AM339" s="73">
        <v>1.0416666666666665</v>
      </c>
      <c r="AN339" s="73">
        <v>-0.1954022988505747</v>
      </c>
      <c r="AO339" s="73">
        <v>-0.3707865168539326</v>
      </c>
      <c r="AP339" s="24">
        <v>0.2359882005899705</v>
      </c>
      <c r="AQ339" s="73">
        <v>-0.41237113402061853</v>
      </c>
      <c r="AR339" s="73">
        <v>-0.60714285714285721</v>
      </c>
      <c r="AS339" s="73">
        <v>-5.7142857142857162E-2</v>
      </c>
      <c r="AT339" s="73"/>
      <c r="AU339" s="24"/>
      <c r="AV339" s="73">
        <v>0</v>
      </c>
      <c r="AW339" s="73">
        <v>-0.25974025974025972</v>
      </c>
      <c r="AX339" s="73">
        <v>-0.13636363636363635</v>
      </c>
      <c r="AY339" s="73"/>
      <c r="AZ339" s="24"/>
      <c r="BA339" s="73">
        <v>0</v>
      </c>
      <c r="BB339" s="73">
        <v>0</v>
      </c>
      <c r="BC339" s="73">
        <v>0</v>
      </c>
      <c r="BD339" s="73"/>
      <c r="BE339" s="24"/>
    </row>
    <row r="340" spans="1:57">
      <c r="A340" s="69" t="s">
        <v>50</v>
      </c>
      <c r="B340" s="29">
        <f>296+85</f>
        <v>381</v>
      </c>
      <c r="C340" s="70">
        <v>103</v>
      </c>
      <c r="D340" s="70">
        <f>164+18</f>
        <v>182</v>
      </c>
      <c r="E340" s="70">
        <v>350</v>
      </c>
      <c r="F340" s="70">
        <f>G340-E340-D340-C340</f>
        <v>163</v>
      </c>
      <c r="G340" s="29">
        <f>538+260</f>
        <v>798</v>
      </c>
      <c r="H340" s="70">
        <v>149</v>
      </c>
      <c r="I340" s="70">
        <f>139+24</f>
        <v>163</v>
      </c>
      <c r="J340" s="70">
        <v>146</v>
      </c>
      <c r="K340" s="70">
        <f>L340-J340-I340-H340</f>
        <v>101</v>
      </c>
      <c r="L340" s="29">
        <f>457+102</f>
        <v>559</v>
      </c>
      <c r="M340" s="70">
        <f>68+24</f>
        <v>92</v>
      </c>
      <c r="N340" s="70">
        <f>86+28</f>
        <v>114</v>
      </c>
      <c r="O340" s="70">
        <f>73+26</f>
        <v>99</v>
      </c>
      <c r="P340" s="70">
        <f>Q340-O340-N340-M340</f>
        <v>92</v>
      </c>
      <c r="Q340" s="29">
        <f>292+105</f>
        <v>397</v>
      </c>
      <c r="R340" s="70">
        <v>133</v>
      </c>
      <c r="S340" s="70">
        <v>86</v>
      </c>
      <c r="T340" s="70">
        <f>83+24</f>
        <v>107</v>
      </c>
      <c r="U340" s="70">
        <f>V340-T340-S340-R340</f>
        <v>93</v>
      </c>
      <c r="V340" s="29">
        <f>321+98</f>
        <v>419</v>
      </c>
      <c r="W340" s="70">
        <v>115</v>
      </c>
      <c r="X340" s="70">
        <f>94+15</f>
        <v>109</v>
      </c>
      <c r="Y340" s="70">
        <v>84</v>
      </c>
      <c r="Z340" s="70">
        <f>AA340-Y340-X340-W340</f>
        <v>76</v>
      </c>
      <c r="AA340" s="98">
        <v>384</v>
      </c>
      <c r="AB340" s="70">
        <v>66</v>
      </c>
      <c r="AC340" s="70">
        <f>71+13</f>
        <v>84</v>
      </c>
      <c r="AD340" s="70">
        <v>92</v>
      </c>
      <c r="AE340" s="70">
        <f>AF340-AD340-AC340-AB340</f>
        <v>78</v>
      </c>
      <c r="AF340" s="98">
        <v>320</v>
      </c>
      <c r="AG340" s="70">
        <v>73</v>
      </c>
      <c r="AH340" s="70">
        <v>90</v>
      </c>
      <c r="AI340" s="70">
        <v>84</v>
      </c>
      <c r="AJ340" s="70">
        <v>82</v>
      </c>
      <c r="AK340" s="98">
        <v>329</v>
      </c>
      <c r="AL340" s="70">
        <v>73</v>
      </c>
      <c r="AM340" s="70">
        <v>199</v>
      </c>
      <c r="AN340" s="70">
        <v>91</v>
      </c>
      <c r="AO340" s="70">
        <v>65</v>
      </c>
      <c r="AP340" s="98">
        <v>428</v>
      </c>
      <c r="AQ340" s="70">
        <v>52</v>
      </c>
      <c r="AR340" s="70">
        <v>63</v>
      </c>
      <c r="AS340" s="70">
        <v>64</v>
      </c>
      <c r="AT340" s="70">
        <v>64</v>
      </c>
      <c r="AU340" s="98">
        <v>243</v>
      </c>
      <c r="AV340" s="70">
        <v>73</v>
      </c>
      <c r="AW340" s="70">
        <v>82</v>
      </c>
      <c r="AX340" s="70">
        <v>78</v>
      </c>
      <c r="AY340" s="70">
        <v>77</v>
      </c>
      <c r="AZ340" s="98">
        <v>310</v>
      </c>
      <c r="BA340" s="70">
        <v>69</v>
      </c>
      <c r="BB340" s="70">
        <v>90</v>
      </c>
      <c r="BC340" s="70">
        <v>73</v>
      </c>
      <c r="BD340" s="70">
        <v>78</v>
      </c>
      <c r="BE340" s="98">
        <v>310</v>
      </c>
    </row>
    <row r="341" spans="1:57">
      <c r="A341" s="71" t="s">
        <v>7</v>
      </c>
      <c r="B341" s="24"/>
      <c r="C341" s="72"/>
      <c r="D341" s="72">
        <f>D340/C340-1</f>
        <v>0.76699029126213603</v>
      </c>
      <c r="E341" s="72">
        <f>E340/D340-1</f>
        <v>0.92307692307692313</v>
      </c>
      <c r="F341" s="72">
        <f>F340/E340-1</f>
        <v>-0.53428571428571425</v>
      </c>
      <c r="G341" s="24"/>
      <c r="H341" s="72">
        <f>H340/F340-1</f>
        <v>-8.5889570552147187E-2</v>
      </c>
      <c r="I341" s="72">
        <f>I340/H340-1</f>
        <v>9.3959731543624248E-2</v>
      </c>
      <c r="J341" s="72">
        <f>J340/I340-1</f>
        <v>-0.10429447852760731</v>
      </c>
      <c r="K341" s="72">
        <f>K340/J340-1</f>
        <v>-0.30821917808219179</v>
      </c>
      <c r="L341" s="24"/>
      <c r="M341" s="72">
        <f>M340/K340-1</f>
        <v>-8.9108910891089077E-2</v>
      </c>
      <c r="N341" s="72">
        <f>N340/M340-1</f>
        <v>0.23913043478260865</v>
      </c>
      <c r="O341" s="72">
        <f>O340/N340-1</f>
        <v>-0.13157894736842102</v>
      </c>
      <c r="P341" s="72">
        <f>P340/O340-1</f>
        <v>-7.0707070707070718E-2</v>
      </c>
      <c r="Q341" s="24"/>
      <c r="R341" s="72">
        <f>R340/P340-1</f>
        <v>0.44565217391304346</v>
      </c>
      <c r="S341" s="72">
        <f>S340/R340-1</f>
        <v>-0.35338345864661658</v>
      </c>
      <c r="T341" s="72">
        <f>T340/S340-1</f>
        <v>0.2441860465116279</v>
      </c>
      <c r="U341" s="72">
        <f>U340/T340-1</f>
        <v>-0.13084112149532712</v>
      </c>
      <c r="V341" s="24"/>
      <c r="W341" s="72">
        <f>W340/U340-1</f>
        <v>0.23655913978494625</v>
      </c>
      <c r="X341" s="72">
        <f>X340/W340-1</f>
        <v>-5.2173913043478293E-2</v>
      </c>
      <c r="Y341" s="72">
        <f>Y340/X340-1</f>
        <v>-0.22935779816513757</v>
      </c>
      <c r="Z341" s="72">
        <f>Z340/Y340-1</f>
        <v>-9.5238095238095233E-2</v>
      </c>
      <c r="AA341" s="24"/>
      <c r="AB341" s="72">
        <f>AB340/Z340-1</f>
        <v>-0.13157894736842102</v>
      </c>
      <c r="AC341" s="72">
        <f>AC340/AB340-1</f>
        <v>0.27272727272727271</v>
      </c>
      <c r="AD341" s="72">
        <f>AD340/AC340-1</f>
        <v>9.5238095238095344E-2</v>
      </c>
      <c r="AE341" s="72">
        <f>AE340/AD340-1</f>
        <v>-0.15217391304347827</v>
      </c>
      <c r="AF341" s="24"/>
      <c r="AG341" s="72">
        <v>-6.4102564102564097E-2</v>
      </c>
      <c r="AH341" s="72">
        <v>0.23287671232876717</v>
      </c>
      <c r="AI341" s="72">
        <v>-6.6666666666666652E-2</v>
      </c>
      <c r="AJ341" s="72">
        <v>-2.3809523809523836E-2</v>
      </c>
      <c r="AK341" s="24"/>
      <c r="AL341" s="72">
        <v>-0.1097560975609756</v>
      </c>
      <c r="AM341" s="72">
        <v>1.7260273972602738</v>
      </c>
      <c r="AN341" s="72">
        <v>-0.542713567839196</v>
      </c>
      <c r="AO341" s="72">
        <v>-0.2857142857142857</v>
      </c>
      <c r="AP341" s="24"/>
      <c r="AQ341" s="72">
        <v>-0.19999999999999996</v>
      </c>
      <c r="AR341" s="72">
        <v>0.21153846153846145</v>
      </c>
      <c r="AS341" s="72">
        <v>1.5873015873015817E-2</v>
      </c>
      <c r="AT341" s="72">
        <v>0</v>
      </c>
      <c r="AU341" s="24"/>
      <c r="AV341" s="72">
        <v>0.140625</v>
      </c>
      <c r="AW341" s="72">
        <v>0.12328767123287676</v>
      </c>
      <c r="AX341" s="72">
        <v>-4.8780487804878092E-2</v>
      </c>
      <c r="AY341" s="72">
        <v>-1.2820512820512775E-2</v>
      </c>
      <c r="AZ341" s="24"/>
      <c r="BA341" s="72">
        <v>-0.10389610389610393</v>
      </c>
      <c r="BB341" s="72">
        <v>0.30434782608695654</v>
      </c>
      <c r="BC341" s="72">
        <v>-0.18888888888888888</v>
      </c>
      <c r="BD341" s="72">
        <v>6.8493150684931559E-2</v>
      </c>
      <c r="BE341" s="24"/>
    </row>
    <row r="342" spans="1:57">
      <c r="A342" s="71" t="s">
        <v>8</v>
      </c>
      <c r="B342" s="24"/>
      <c r="C342" s="73"/>
      <c r="D342" s="73"/>
      <c r="E342" s="73"/>
      <c r="F342" s="73"/>
      <c r="G342" s="24">
        <f t="shared" ref="G342:N342" si="249">G340/B340-1</f>
        <v>1.0944881889763778</v>
      </c>
      <c r="H342" s="73">
        <f t="shared" si="249"/>
        <v>0.44660194174757284</v>
      </c>
      <c r="I342" s="73">
        <f t="shared" si="249"/>
        <v>-0.10439560439560436</v>
      </c>
      <c r="J342" s="73">
        <f t="shared" si="249"/>
        <v>-0.58285714285714285</v>
      </c>
      <c r="K342" s="73">
        <f t="shared" si="249"/>
        <v>-0.38036809815950923</v>
      </c>
      <c r="L342" s="24">
        <f t="shared" si="249"/>
        <v>-0.29949874686716793</v>
      </c>
      <c r="M342" s="73">
        <f t="shared" si="249"/>
        <v>-0.3825503355704698</v>
      </c>
      <c r="N342" s="73">
        <f t="shared" si="249"/>
        <v>-0.30061349693251538</v>
      </c>
      <c r="O342" s="73">
        <f t="shared" ref="O342:Y342" si="250">O340/J340-1</f>
        <v>-0.32191780821917804</v>
      </c>
      <c r="P342" s="73">
        <f t="shared" si="250"/>
        <v>-8.9108910891089077E-2</v>
      </c>
      <c r="Q342" s="24">
        <f t="shared" si="250"/>
        <v>-0.28980322003577819</v>
      </c>
      <c r="R342" s="73">
        <f t="shared" si="250"/>
        <v>0.44565217391304346</v>
      </c>
      <c r="S342" s="73">
        <f t="shared" si="250"/>
        <v>-0.24561403508771928</v>
      </c>
      <c r="T342" s="73">
        <f t="shared" si="250"/>
        <v>8.0808080808080884E-2</v>
      </c>
      <c r="U342" s="73">
        <f t="shared" si="250"/>
        <v>1.0869565217391353E-2</v>
      </c>
      <c r="V342" s="24">
        <f t="shared" si="250"/>
        <v>5.5415617128463435E-2</v>
      </c>
      <c r="W342" s="73">
        <f t="shared" si="250"/>
        <v>-0.13533834586466165</v>
      </c>
      <c r="X342" s="73">
        <f t="shared" si="250"/>
        <v>0.26744186046511631</v>
      </c>
      <c r="Y342" s="73">
        <f t="shared" si="250"/>
        <v>-0.21495327102803741</v>
      </c>
      <c r="Z342" s="73">
        <f t="shared" ref="Z342:AE342" si="251">Z340/U340-1</f>
        <v>-0.18279569892473113</v>
      </c>
      <c r="AA342" s="24">
        <f t="shared" si="251"/>
        <v>-8.3532219570405686E-2</v>
      </c>
      <c r="AB342" s="73">
        <f t="shared" si="251"/>
        <v>-0.42608695652173911</v>
      </c>
      <c r="AC342" s="73">
        <f t="shared" si="251"/>
        <v>-0.22935779816513757</v>
      </c>
      <c r="AD342" s="73">
        <f t="shared" si="251"/>
        <v>9.5238095238095344E-2</v>
      </c>
      <c r="AE342" s="73">
        <f t="shared" si="251"/>
        <v>2.6315789473684292E-2</v>
      </c>
      <c r="AF342" s="24">
        <v>-0.16666666666666663</v>
      </c>
      <c r="AG342" s="73">
        <v>0.10606060606060597</v>
      </c>
      <c r="AH342" s="73">
        <v>7.1428571428571397E-2</v>
      </c>
      <c r="AI342" s="73">
        <v>-8.6956521739130488E-2</v>
      </c>
      <c r="AJ342" s="73">
        <v>5.1282051282051322E-2</v>
      </c>
      <c r="AK342" s="24">
        <v>2.8124999999999956E-2</v>
      </c>
      <c r="AL342" s="73">
        <v>0</v>
      </c>
      <c r="AM342" s="73">
        <v>1.2111111111111112</v>
      </c>
      <c r="AN342" s="73">
        <v>8.3333333333333259E-2</v>
      </c>
      <c r="AO342" s="73">
        <v>-0.20731707317073167</v>
      </c>
      <c r="AP342" s="24">
        <v>0.30091185410334353</v>
      </c>
      <c r="AQ342" s="73">
        <v>-0.28767123287671237</v>
      </c>
      <c r="AR342" s="73">
        <v>-0.68341708542713575</v>
      </c>
      <c r="AS342" s="73">
        <v>-0.29670329670329665</v>
      </c>
      <c r="AT342" s="73">
        <v>-1.538461538461533E-2</v>
      </c>
      <c r="AU342" s="24">
        <v>-0.43224299065420557</v>
      </c>
      <c r="AV342" s="73">
        <v>0.40384615384615374</v>
      </c>
      <c r="AW342" s="73">
        <v>0.30158730158730163</v>
      </c>
      <c r="AX342" s="73">
        <v>0.21875</v>
      </c>
      <c r="AY342" s="73">
        <v>0.203125</v>
      </c>
      <c r="AZ342" s="24">
        <v>0.27572016460905346</v>
      </c>
      <c r="BA342" s="73">
        <v>-5.4794520547945202E-2</v>
      </c>
      <c r="BB342" s="73">
        <v>9.7560975609756184E-2</v>
      </c>
      <c r="BC342" s="73">
        <v>-6.4102564102564097E-2</v>
      </c>
      <c r="BD342" s="73">
        <v>1.298701298701288E-2</v>
      </c>
      <c r="BE342" s="24">
        <v>0</v>
      </c>
    </row>
    <row r="343" spans="1:57" s="36" customFormat="1">
      <c r="A343" s="69" t="s">
        <v>51</v>
      </c>
      <c r="B343" s="29">
        <f>B340-5</f>
        <v>376</v>
      </c>
      <c r="C343" s="70">
        <f>C340-1</f>
        <v>102</v>
      </c>
      <c r="D343" s="70">
        <f>D340-1</f>
        <v>181</v>
      </c>
      <c r="E343" s="70">
        <v>350</v>
      </c>
      <c r="F343" s="70">
        <f>G343-E343-D343-C343</f>
        <v>162</v>
      </c>
      <c r="G343" s="29">
        <f>G340-3</f>
        <v>795</v>
      </c>
      <c r="H343" s="70">
        <v>149</v>
      </c>
      <c r="I343" s="70">
        <f>I340-4</f>
        <v>159</v>
      </c>
      <c r="J343" s="70">
        <v>146</v>
      </c>
      <c r="K343" s="70">
        <f>L343-J343-I343-H343</f>
        <v>101</v>
      </c>
      <c r="L343" s="29">
        <f>L340-4</f>
        <v>555</v>
      </c>
      <c r="M343" s="70">
        <f>M340</f>
        <v>92</v>
      </c>
      <c r="N343" s="70">
        <f>N340</f>
        <v>114</v>
      </c>
      <c r="O343" s="70">
        <f>O340</f>
        <v>99</v>
      </c>
      <c r="P343" s="70">
        <f>Q343-O343-N343-M343</f>
        <v>92</v>
      </c>
      <c r="Q343" s="29">
        <f>Q340</f>
        <v>397</v>
      </c>
      <c r="R343" s="70">
        <f>R340</f>
        <v>133</v>
      </c>
      <c r="S343" s="70">
        <v>86</v>
      </c>
      <c r="T343" s="70">
        <f>T340-36</f>
        <v>71</v>
      </c>
      <c r="U343" s="70">
        <f>V343-T343-S343-R343</f>
        <v>92</v>
      </c>
      <c r="V343" s="29">
        <f>V340-1-36</f>
        <v>382</v>
      </c>
      <c r="W343" s="70">
        <f>W340</f>
        <v>115</v>
      </c>
      <c r="X343" s="70">
        <f>X340</f>
        <v>109</v>
      </c>
      <c r="Y343" s="70">
        <f>Y340</f>
        <v>84</v>
      </c>
      <c r="Z343" s="70">
        <f>AA343-Y343-X343-W343</f>
        <v>73</v>
      </c>
      <c r="AA343" s="98">
        <f>AA340-3</f>
        <v>381</v>
      </c>
      <c r="AB343" s="70">
        <f>AB340</f>
        <v>66</v>
      </c>
      <c r="AC343" s="70">
        <f>AC340</f>
        <v>84</v>
      </c>
      <c r="AD343" s="70">
        <v>88</v>
      </c>
      <c r="AE343" s="70">
        <v>77</v>
      </c>
      <c r="AF343" s="98">
        <v>315</v>
      </c>
      <c r="AG343" s="70">
        <v>73</v>
      </c>
      <c r="AH343" s="70">
        <v>85</v>
      </c>
      <c r="AI343" s="70">
        <v>83</v>
      </c>
      <c r="AJ343" s="70">
        <v>80</v>
      </c>
      <c r="AK343" s="98">
        <v>321</v>
      </c>
      <c r="AL343" s="70">
        <v>72</v>
      </c>
      <c r="AM343" s="70">
        <v>199</v>
      </c>
      <c r="AN343" s="70">
        <v>90</v>
      </c>
      <c r="AO343" s="70">
        <v>65</v>
      </c>
      <c r="AP343" s="98">
        <v>426</v>
      </c>
      <c r="AQ343" s="70">
        <v>51</v>
      </c>
      <c r="AR343" s="70">
        <v>63</v>
      </c>
      <c r="AS343" s="70">
        <v>64</v>
      </c>
      <c r="AT343" s="70">
        <v>63</v>
      </c>
      <c r="AU343" s="98">
        <v>241</v>
      </c>
      <c r="AV343" s="70">
        <v>73</v>
      </c>
      <c r="AW343" s="70">
        <v>82</v>
      </c>
      <c r="AX343" s="70">
        <v>78</v>
      </c>
      <c r="AY343" s="70">
        <v>76</v>
      </c>
      <c r="AZ343" s="98">
        <v>309</v>
      </c>
      <c r="BA343" s="70">
        <v>69</v>
      </c>
      <c r="BB343" s="70">
        <v>90</v>
      </c>
      <c r="BC343" s="70">
        <v>69</v>
      </c>
      <c r="BD343" s="70">
        <v>78</v>
      </c>
      <c r="BE343" s="98">
        <v>306</v>
      </c>
    </row>
    <row r="344" spans="1:57">
      <c r="A344" s="71" t="s">
        <v>7</v>
      </c>
      <c r="B344" s="24"/>
      <c r="C344" s="72"/>
      <c r="D344" s="72">
        <f>D343/C343-1</f>
        <v>0.77450980392156854</v>
      </c>
      <c r="E344" s="72">
        <f>E343/D343-1</f>
        <v>0.93370165745856348</v>
      </c>
      <c r="F344" s="72">
        <f>F343/E343-1</f>
        <v>-0.53714285714285714</v>
      </c>
      <c r="G344" s="24"/>
      <c r="H344" s="72">
        <f>H343/F343-1</f>
        <v>-8.0246913580246937E-2</v>
      </c>
      <c r="I344" s="72">
        <f>I343/H343-1</f>
        <v>6.7114093959731447E-2</v>
      </c>
      <c r="J344" s="72">
        <f>J343/I343-1</f>
        <v>-8.1761006289308158E-2</v>
      </c>
      <c r="K344" s="72">
        <f>K343/J343-1</f>
        <v>-0.30821917808219179</v>
      </c>
      <c r="L344" s="24"/>
      <c r="M344" s="72">
        <f>M343/K343-1</f>
        <v>-8.9108910891089077E-2</v>
      </c>
      <c r="N344" s="72">
        <f>N343/M343-1</f>
        <v>0.23913043478260865</v>
      </c>
      <c r="O344" s="72">
        <f>O343/N343-1</f>
        <v>-0.13157894736842102</v>
      </c>
      <c r="P344" s="72">
        <f>P343/O343-1</f>
        <v>-7.0707070707070718E-2</v>
      </c>
      <c r="Q344" s="24"/>
      <c r="R344" s="72">
        <f>R343/P343-1</f>
        <v>0.44565217391304346</v>
      </c>
      <c r="S344" s="72">
        <f>S343/R343-1</f>
        <v>-0.35338345864661658</v>
      </c>
      <c r="T344" s="72">
        <f>T343/S343-1</f>
        <v>-0.17441860465116277</v>
      </c>
      <c r="U344" s="72">
        <f>U343/T343-1</f>
        <v>0.29577464788732399</v>
      </c>
      <c r="V344" s="24"/>
      <c r="W344" s="72">
        <f>W343/U343-1</f>
        <v>0.25</v>
      </c>
      <c r="X344" s="72">
        <f>X343/W343-1</f>
        <v>-5.2173913043478293E-2</v>
      </c>
      <c r="Y344" s="72">
        <f>Y343/X343-1</f>
        <v>-0.22935779816513757</v>
      </c>
      <c r="Z344" s="72">
        <f>Z343/Y343-1</f>
        <v>-0.13095238095238093</v>
      </c>
      <c r="AA344" s="24"/>
      <c r="AB344" s="72">
        <f>AB343/Z343-1</f>
        <v>-9.589041095890416E-2</v>
      </c>
      <c r="AC344" s="72">
        <f>AC343/AB343-1</f>
        <v>0.27272727272727271</v>
      </c>
      <c r="AD344" s="72">
        <f>AD343/AC343-1</f>
        <v>4.7619047619047672E-2</v>
      </c>
      <c r="AE344" s="72">
        <f>AE343/AD343-1</f>
        <v>-0.125</v>
      </c>
      <c r="AF344" s="24"/>
      <c r="AG344" s="72">
        <v>-5.1948051948051965E-2</v>
      </c>
      <c r="AH344" s="72">
        <v>0.16438356164383561</v>
      </c>
      <c r="AI344" s="72">
        <v>-2.352941176470591E-2</v>
      </c>
      <c r="AJ344" s="72">
        <v>-3.6144578313253017E-2</v>
      </c>
      <c r="AK344" s="24"/>
      <c r="AL344" s="72">
        <v>-9.9999999999999978E-2</v>
      </c>
      <c r="AM344" s="72">
        <v>1.7638888888888888</v>
      </c>
      <c r="AN344" s="72">
        <v>-0.54773869346733672</v>
      </c>
      <c r="AO344" s="72">
        <v>-0.27777777777777779</v>
      </c>
      <c r="AP344" s="24"/>
      <c r="AQ344" s="72">
        <v>-0.2153846153846154</v>
      </c>
      <c r="AR344" s="72">
        <v>0.23529411764705888</v>
      </c>
      <c r="AS344" s="72">
        <v>1.5873015873015817E-2</v>
      </c>
      <c r="AT344" s="72">
        <v>-1.5625E-2</v>
      </c>
      <c r="AU344" s="24"/>
      <c r="AV344" s="72">
        <v>0.15873015873015883</v>
      </c>
      <c r="AW344" s="72">
        <v>0.12328767123287676</v>
      </c>
      <c r="AX344" s="72">
        <v>-4.8780487804878092E-2</v>
      </c>
      <c r="AY344" s="72">
        <v>-2.5641025641025661E-2</v>
      </c>
      <c r="AZ344" s="24"/>
      <c r="BA344" s="72">
        <v>-9.210526315789469E-2</v>
      </c>
      <c r="BB344" s="72">
        <v>0.30434782608695654</v>
      </c>
      <c r="BC344" s="72">
        <v>-0.23333333333333328</v>
      </c>
      <c r="BD344" s="72">
        <v>0.13043478260869557</v>
      </c>
      <c r="BE344" s="24"/>
    </row>
    <row r="345" spans="1:57">
      <c r="A345" s="71" t="s">
        <v>8</v>
      </c>
      <c r="B345" s="24"/>
      <c r="C345" s="73"/>
      <c r="D345" s="73"/>
      <c r="E345" s="73"/>
      <c r="F345" s="73"/>
      <c r="G345" s="24">
        <f t="shared" ref="G345:N345" si="252">G343/B343-1</f>
        <v>1.1143617021276597</v>
      </c>
      <c r="H345" s="73">
        <f t="shared" si="252"/>
        <v>0.46078431372549011</v>
      </c>
      <c r="I345" s="73">
        <f t="shared" si="252"/>
        <v>-0.12154696132596687</v>
      </c>
      <c r="J345" s="73">
        <f t="shared" si="252"/>
        <v>-0.58285714285714285</v>
      </c>
      <c r="K345" s="73">
        <f t="shared" si="252"/>
        <v>-0.37654320987654322</v>
      </c>
      <c r="L345" s="24">
        <f t="shared" si="252"/>
        <v>-0.30188679245283023</v>
      </c>
      <c r="M345" s="73">
        <f t="shared" si="252"/>
        <v>-0.3825503355704698</v>
      </c>
      <c r="N345" s="73">
        <f t="shared" si="252"/>
        <v>-0.28301886792452835</v>
      </c>
      <c r="O345" s="73">
        <f t="shared" ref="O345:Y345" si="253">O343/J343-1</f>
        <v>-0.32191780821917804</v>
      </c>
      <c r="P345" s="73">
        <f t="shared" si="253"/>
        <v>-8.9108910891089077E-2</v>
      </c>
      <c r="Q345" s="24">
        <f t="shared" si="253"/>
        <v>-0.28468468468468466</v>
      </c>
      <c r="R345" s="73">
        <f t="shared" si="253"/>
        <v>0.44565217391304346</v>
      </c>
      <c r="S345" s="73">
        <f t="shared" si="253"/>
        <v>-0.24561403508771928</v>
      </c>
      <c r="T345" s="73">
        <f t="shared" si="253"/>
        <v>-0.28282828282828287</v>
      </c>
      <c r="U345" s="73">
        <f t="shared" si="253"/>
        <v>0</v>
      </c>
      <c r="V345" s="24">
        <f t="shared" si="253"/>
        <v>-3.7783375314861423E-2</v>
      </c>
      <c r="W345" s="73">
        <f t="shared" si="253"/>
        <v>-0.13533834586466165</v>
      </c>
      <c r="X345" s="73">
        <f t="shared" si="253"/>
        <v>0.26744186046511631</v>
      </c>
      <c r="Y345" s="73">
        <f t="shared" si="253"/>
        <v>0.18309859154929575</v>
      </c>
      <c r="Z345" s="73">
        <f t="shared" ref="Z345:AE345" si="254">Z343/U343-1</f>
        <v>-0.20652173913043481</v>
      </c>
      <c r="AA345" s="24">
        <f t="shared" si="254"/>
        <v>-2.6178010471203939E-3</v>
      </c>
      <c r="AB345" s="73">
        <f t="shared" si="254"/>
        <v>-0.42608695652173911</v>
      </c>
      <c r="AC345" s="73">
        <f t="shared" si="254"/>
        <v>-0.22935779816513757</v>
      </c>
      <c r="AD345" s="73">
        <f t="shared" si="254"/>
        <v>4.7619047619047672E-2</v>
      </c>
      <c r="AE345" s="73">
        <f t="shared" si="254"/>
        <v>5.4794520547945202E-2</v>
      </c>
      <c r="AF345" s="24">
        <v>-0.17322834645669294</v>
      </c>
      <c r="AG345" s="73">
        <v>0.10606060606060597</v>
      </c>
      <c r="AH345" s="73">
        <v>1.1904761904761862E-2</v>
      </c>
      <c r="AI345" s="73">
        <v>-5.6818181818181768E-2</v>
      </c>
      <c r="AJ345" s="73">
        <v>3.8961038961038863E-2</v>
      </c>
      <c r="AK345" s="24">
        <v>1.904761904761898E-2</v>
      </c>
      <c r="AL345" s="73">
        <v>-1.3698630136986356E-2</v>
      </c>
      <c r="AM345" s="73">
        <v>1.3411764705882354</v>
      </c>
      <c r="AN345" s="73">
        <v>8.43373493975903E-2</v>
      </c>
      <c r="AO345" s="73">
        <v>-0.1875</v>
      </c>
      <c r="AP345" s="24">
        <v>0.32710280373831768</v>
      </c>
      <c r="AQ345" s="73">
        <v>-0.29166666666666663</v>
      </c>
      <c r="AR345" s="73">
        <v>-0.68341708542713575</v>
      </c>
      <c r="AS345" s="73">
        <v>-0.28888888888888886</v>
      </c>
      <c r="AT345" s="73">
        <v>-3.0769230769230771E-2</v>
      </c>
      <c r="AU345" s="24">
        <v>-0.43427230046948362</v>
      </c>
      <c r="AV345" s="73">
        <v>0.43137254901960786</v>
      </c>
      <c r="AW345" s="73">
        <v>0.30158730158730163</v>
      </c>
      <c r="AX345" s="73">
        <v>0.21875</v>
      </c>
      <c r="AY345" s="73">
        <v>0.20634920634920628</v>
      </c>
      <c r="AZ345" s="24">
        <v>0.28215767634854783</v>
      </c>
      <c r="BA345" s="73">
        <v>-5.4794520547945202E-2</v>
      </c>
      <c r="BB345" s="73">
        <v>9.7560975609756184E-2</v>
      </c>
      <c r="BC345" s="73">
        <v>-0.11538461538461542</v>
      </c>
      <c r="BD345" s="73">
        <v>2.6315789473684292E-2</v>
      </c>
      <c r="BE345" s="24">
        <v>-9.7087378640776656E-3</v>
      </c>
    </row>
    <row r="346" spans="1:57">
      <c r="A346" s="69" t="s">
        <v>261</v>
      </c>
      <c r="B346" s="24"/>
      <c r="C346" s="73"/>
      <c r="D346" s="73"/>
      <c r="E346" s="73"/>
      <c r="F346" s="73"/>
      <c r="G346" s="24"/>
      <c r="H346" s="73"/>
      <c r="I346" s="73"/>
      <c r="J346" s="73"/>
      <c r="K346" s="73"/>
      <c r="L346" s="24"/>
      <c r="M346" s="73"/>
      <c r="N346" s="73"/>
      <c r="O346" s="73"/>
      <c r="P346" s="73"/>
      <c r="Q346" s="24"/>
      <c r="R346" s="73"/>
      <c r="S346" s="73"/>
      <c r="T346" s="73"/>
      <c r="U346" s="73"/>
      <c r="V346" s="24"/>
      <c r="W346" s="73"/>
      <c r="X346" s="73"/>
      <c r="Y346" s="73"/>
      <c r="Z346" s="73"/>
      <c r="AA346" s="24"/>
      <c r="AB346" s="73"/>
      <c r="AC346" s="73"/>
      <c r="AD346" s="73"/>
      <c r="AE346" s="73"/>
      <c r="AF346" s="24"/>
      <c r="AG346" s="73"/>
      <c r="AH346" s="73"/>
      <c r="AI346" s="73"/>
      <c r="AJ346" s="73"/>
      <c r="AK346" s="24"/>
      <c r="AL346" s="73"/>
      <c r="AM346" s="73"/>
      <c r="AN346" s="73"/>
      <c r="AO346" s="73"/>
      <c r="AP346" s="24"/>
      <c r="AQ346" s="73"/>
      <c r="AR346" s="73"/>
      <c r="AS346" s="73"/>
      <c r="AT346" s="73"/>
      <c r="AU346" s="24"/>
      <c r="AV346" s="73"/>
      <c r="AW346" s="73"/>
      <c r="AX346" s="73"/>
      <c r="AY346" s="73"/>
      <c r="AZ346" s="24"/>
      <c r="BA346" s="70">
        <v>75</v>
      </c>
      <c r="BB346" s="70">
        <v>50</v>
      </c>
      <c r="BC346" s="70">
        <v>64</v>
      </c>
      <c r="BD346" s="70">
        <v>70</v>
      </c>
      <c r="BE346" s="98">
        <v>259</v>
      </c>
    </row>
    <row r="347" spans="1:57" ht="6" customHeight="1">
      <c r="A347" s="71"/>
      <c r="B347" s="24"/>
      <c r="C347" s="73"/>
      <c r="D347" s="73"/>
      <c r="E347" s="73"/>
      <c r="F347" s="73"/>
      <c r="G347" s="24"/>
      <c r="H347" s="73"/>
      <c r="I347" s="73"/>
      <c r="J347" s="73"/>
      <c r="K347" s="73"/>
      <c r="L347" s="24"/>
      <c r="M347" s="73"/>
      <c r="N347" s="73"/>
      <c r="O347" s="73"/>
      <c r="P347" s="73"/>
      <c r="Q347" s="24"/>
      <c r="R347" s="73"/>
      <c r="S347" s="73"/>
      <c r="T347" s="73"/>
      <c r="U347" s="73"/>
      <c r="V347" s="24"/>
      <c r="W347" s="73"/>
      <c r="X347" s="73"/>
      <c r="Y347" s="73"/>
      <c r="Z347" s="73"/>
      <c r="AA347" s="24"/>
      <c r="AB347" s="73"/>
      <c r="AC347" s="73"/>
      <c r="AD347" s="73"/>
      <c r="AE347" s="73"/>
      <c r="AF347" s="24"/>
      <c r="AG347" s="73"/>
      <c r="AH347" s="73"/>
      <c r="AI347" s="73"/>
      <c r="AJ347" s="73"/>
      <c r="AK347" s="24"/>
      <c r="AL347" s="73"/>
      <c r="AM347" s="73"/>
      <c r="AN347" s="73"/>
      <c r="AO347" s="73"/>
      <c r="AP347" s="24"/>
      <c r="AQ347" s="73"/>
      <c r="AR347" s="73"/>
      <c r="AS347" s="73"/>
      <c r="AT347" s="73"/>
      <c r="AU347" s="24"/>
      <c r="AV347" s="73"/>
      <c r="AW347" s="73"/>
      <c r="AX347" s="73"/>
      <c r="AY347" s="73"/>
      <c r="AZ347" s="24"/>
      <c r="BA347" s="73"/>
      <c r="BB347" s="73"/>
      <c r="BC347" s="73"/>
      <c r="BD347" s="73"/>
      <c r="BE347" s="24"/>
    </row>
    <row r="348" spans="1:57" s="36" customFormat="1">
      <c r="A348" s="69" t="s">
        <v>13</v>
      </c>
      <c r="B348" s="29">
        <f>B334-B343</f>
        <v>852</v>
      </c>
      <c r="C348" s="77">
        <f>C334-C343</f>
        <v>154</v>
      </c>
      <c r="D348" s="77">
        <f>D334-D343</f>
        <v>163</v>
      </c>
      <c r="E348" s="77">
        <f>E334-E343</f>
        <v>29</v>
      </c>
      <c r="F348" s="70">
        <f>G348-E348-D348-C348</f>
        <v>136</v>
      </c>
      <c r="G348" s="29">
        <f>G334-G343</f>
        <v>482</v>
      </c>
      <c r="H348" s="77">
        <f>H334-H343</f>
        <v>226</v>
      </c>
      <c r="I348" s="77">
        <f>I334-I343</f>
        <v>131</v>
      </c>
      <c r="J348" s="77">
        <f>J334-J343</f>
        <v>249</v>
      </c>
      <c r="K348" s="70">
        <v>-45</v>
      </c>
      <c r="L348" s="29">
        <f>L334-L343</f>
        <v>560</v>
      </c>
      <c r="M348" s="77">
        <f>M334-M343</f>
        <v>258</v>
      </c>
      <c r="N348" s="77">
        <f>N334-N343</f>
        <v>264</v>
      </c>
      <c r="O348" s="77">
        <f>O334-O343</f>
        <v>301</v>
      </c>
      <c r="P348" s="70">
        <f>Q348-O348-N348-M348</f>
        <v>-1</v>
      </c>
      <c r="Q348" s="98">
        <f>Q334-Q343</f>
        <v>822</v>
      </c>
      <c r="R348" s="77">
        <f>R334-R343</f>
        <v>175</v>
      </c>
      <c r="S348" s="77">
        <f>S334-S343</f>
        <v>15</v>
      </c>
      <c r="T348" s="77">
        <f>T334-T343</f>
        <v>97</v>
      </c>
      <c r="U348" s="70">
        <f>V348-T348-S348-R348</f>
        <v>131</v>
      </c>
      <c r="V348" s="98">
        <f>V334-V343</f>
        <v>418</v>
      </c>
      <c r="W348" s="77">
        <f>W334-W343</f>
        <v>179</v>
      </c>
      <c r="X348" s="77">
        <f>X334-X343</f>
        <v>447</v>
      </c>
      <c r="Y348" s="77">
        <f>Y334-Y343</f>
        <v>406</v>
      </c>
      <c r="Z348" s="70">
        <f>AA348-Y348-X348-W348</f>
        <v>315</v>
      </c>
      <c r="AA348" s="98">
        <f>AA334-AA343</f>
        <v>1347</v>
      </c>
      <c r="AB348" s="77">
        <f>AB334-AB343</f>
        <v>288</v>
      </c>
      <c r="AC348" s="77">
        <f>AC334-AC343</f>
        <v>384</v>
      </c>
      <c r="AD348" s="77">
        <f>AD334-AD343</f>
        <v>354</v>
      </c>
      <c r="AE348" s="70">
        <f>AF348-AD348-AC348-AB348</f>
        <v>250</v>
      </c>
      <c r="AF348" s="98">
        <v>1276</v>
      </c>
      <c r="AG348" s="77">
        <v>276</v>
      </c>
      <c r="AH348" s="77">
        <v>335</v>
      </c>
      <c r="AI348" s="77">
        <v>203</v>
      </c>
      <c r="AJ348" s="70">
        <v>78</v>
      </c>
      <c r="AK348" s="98">
        <v>892</v>
      </c>
      <c r="AL348" s="77">
        <v>279</v>
      </c>
      <c r="AM348" s="77">
        <v>3</v>
      </c>
      <c r="AN348" s="77">
        <v>73</v>
      </c>
      <c r="AO348" s="70">
        <v>-51</v>
      </c>
      <c r="AP348" s="98">
        <v>304</v>
      </c>
      <c r="AQ348" s="77">
        <v>134</v>
      </c>
      <c r="AR348" s="77">
        <v>117</v>
      </c>
      <c r="AS348" s="77">
        <v>88</v>
      </c>
      <c r="AT348" s="70">
        <v>2</v>
      </c>
      <c r="AU348" s="98">
        <v>341</v>
      </c>
      <c r="AV348" s="77">
        <v>44</v>
      </c>
      <c r="AW348" s="77">
        <v>111</v>
      </c>
      <c r="AX348" s="77">
        <v>131</v>
      </c>
      <c r="AY348" s="70">
        <v>10</v>
      </c>
      <c r="AZ348" s="98">
        <v>296</v>
      </c>
      <c r="BA348" s="77">
        <v>95</v>
      </c>
      <c r="BB348" s="77">
        <v>41</v>
      </c>
      <c r="BC348" s="77">
        <v>61</v>
      </c>
      <c r="BD348" s="70">
        <v>8</v>
      </c>
      <c r="BE348" s="98">
        <v>205</v>
      </c>
    </row>
    <row r="349" spans="1:57">
      <c r="A349" s="71" t="s">
        <v>7</v>
      </c>
      <c r="B349" s="24"/>
      <c r="C349" s="72"/>
      <c r="D349" s="72">
        <f>D348/C348-1</f>
        <v>5.8441558441558517E-2</v>
      </c>
      <c r="E349" s="72">
        <f>E348/D348-1</f>
        <v>-0.82208588957055218</v>
      </c>
      <c r="F349" s="72">
        <f>F348/E348-1</f>
        <v>3.6896551724137927</v>
      </c>
      <c r="G349" s="24"/>
      <c r="H349" s="72">
        <f>H348/F348-1</f>
        <v>0.66176470588235303</v>
      </c>
      <c r="I349" s="72">
        <f>I348/H348-1</f>
        <v>-0.42035398230088494</v>
      </c>
      <c r="J349" s="72">
        <f>J348/I348-1</f>
        <v>0.9007633587786259</v>
      </c>
      <c r="K349" s="72">
        <f>K348/J348-1</f>
        <v>-1.1807228915662651</v>
      </c>
      <c r="L349" s="24"/>
      <c r="M349" s="72">
        <f>M348/K348-1</f>
        <v>-6.7333333333333334</v>
      </c>
      <c r="N349" s="72">
        <f>N348/M348-1</f>
        <v>2.3255813953488413E-2</v>
      </c>
      <c r="O349" s="72">
        <f>O348/N348-1</f>
        <v>0.14015151515151514</v>
      </c>
      <c r="P349" s="72">
        <f>P348/O348-1</f>
        <v>-1.0033222591362125</v>
      </c>
      <c r="Q349" s="24"/>
      <c r="R349" s="119" t="s">
        <v>43</v>
      </c>
      <c r="S349" s="72">
        <f>S348/R348-1</f>
        <v>-0.91428571428571426</v>
      </c>
      <c r="T349" s="72">
        <f>T348/S348-1</f>
        <v>5.4666666666666668</v>
      </c>
      <c r="U349" s="72">
        <f>U348/T348-1</f>
        <v>0.35051546391752586</v>
      </c>
      <c r="V349" s="24"/>
      <c r="W349" s="72">
        <f>W348/U348-1</f>
        <v>0.36641221374045796</v>
      </c>
      <c r="X349" s="72">
        <f>X348/W348-1</f>
        <v>1.4972067039106145</v>
      </c>
      <c r="Y349" s="72">
        <f>Y348/X348-1</f>
        <v>-9.1722595078299829E-2</v>
      </c>
      <c r="Z349" s="72">
        <f>Z348/Y348-1</f>
        <v>-0.22413793103448276</v>
      </c>
      <c r="AA349" s="24"/>
      <c r="AB349" s="72">
        <f>AB348/Z348-1</f>
        <v>-8.5714285714285743E-2</v>
      </c>
      <c r="AC349" s="72">
        <f>AC348/AB348-1</f>
        <v>0.33333333333333326</v>
      </c>
      <c r="AD349" s="72">
        <f>AD348/AC348-1</f>
        <v>-7.8125E-2</v>
      </c>
      <c r="AE349" s="72">
        <f>AE348/AD348-1</f>
        <v>-0.29378531073446323</v>
      </c>
      <c r="AF349" s="24"/>
      <c r="AG349" s="72">
        <v>0.10400000000000009</v>
      </c>
      <c r="AH349" s="72">
        <v>0.21376811594202905</v>
      </c>
      <c r="AI349" s="72">
        <v>-0.39402985074626862</v>
      </c>
      <c r="AJ349" s="72">
        <v>-0.61576354679802958</v>
      </c>
      <c r="AK349" s="24"/>
      <c r="AL349" s="72">
        <v>2.5769230769230771</v>
      </c>
      <c r="AM349" s="72">
        <v>-0.989247311827957</v>
      </c>
      <c r="AN349" s="72">
        <v>23.333333333333332</v>
      </c>
      <c r="AO349" s="85" t="s">
        <v>43</v>
      </c>
      <c r="AP349" s="24"/>
      <c r="AQ349" s="85" t="s">
        <v>43</v>
      </c>
      <c r="AR349" s="72">
        <v>-0.12686567164179108</v>
      </c>
      <c r="AS349" s="72">
        <v>-0.24786324786324787</v>
      </c>
      <c r="AT349" s="72">
        <v>-0.97727272727272729</v>
      </c>
      <c r="AU349" s="24"/>
      <c r="AV349" s="72">
        <v>21</v>
      </c>
      <c r="AW349" s="72">
        <v>1.5227272727272729</v>
      </c>
      <c r="AX349" s="72">
        <v>0.18018018018018012</v>
      </c>
      <c r="AY349" s="72">
        <v>-0.92366412213740456</v>
      </c>
      <c r="AZ349" s="24"/>
      <c r="BA349" s="72">
        <v>8.5</v>
      </c>
      <c r="BB349" s="72">
        <v>-0.56842105263157894</v>
      </c>
      <c r="BC349" s="72">
        <v>0.48780487804878048</v>
      </c>
      <c r="BD349" s="72">
        <v>-0.86885245901639341</v>
      </c>
      <c r="BE349" s="24"/>
    </row>
    <row r="350" spans="1:57">
      <c r="A350" s="71" t="s">
        <v>8</v>
      </c>
      <c r="B350" s="24"/>
      <c r="C350" s="73"/>
      <c r="D350" s="73"/>
      <c r="E350" s="73"/>
      <c r="F350" s="73"/>
      <c r="G350" s="24">
        <f t="shared" ref="G350:N350" si="255">G348/B348-1</f>
        <v>-0.43427230046948362</v>
      </c>
      <c r="H350" s="73">
        <f t="shared" si="255"/>
        <v>0.46753246753246747</v>
      </c>
      <c r="I350" s="73">
        <f t="shared" si="255"/>
        <v>-0.19631901840490795</v>
      </c>
      <c r="J350" s="73">
        <f t="shared" si="255"/>
        <v>7.5862068965517242</v>
      </c>
      <c r="K350" s="73">
        <f t="shared" si="255"/>
        <v>-1.3308823529411764</v>
      </c>
      <c r="L350" s="24">
        <f t="shared" si="255"/>
        <v>0.16182572614107893</v>
      </c>
      <c r="M350" s="73">
        <f t="shared" si="255"/>
        <v>0.1415929203539823</v>
      </c>
      <c r="N350" s="73">
        <f t="shared" si="255"/>
        <v>1.0152671755725189</v>
      </c>
      <c r="O350" s="73">
        <f t="shared" ref="O350:Y350" si="256">O348/J348-1</f>
        <v>0.20883534136546178</v>
      </c>
      <c r="P350" s="73">
        <f t="shared" si="256"/>
        <v>-0.97777777777777775</v>
      </c>
      <c r="Q350" s="24">
        <f t="shared" si="256"/>
        <v>0.46785714285714275</v>
      </c>
      <c r="R350" s="73">
        <f t="shared" si="256"/>
        <v>-0.32170542635658916</v>
      </c>
      <c r="S350" s="73">
        <f t="shared" si="256"/>
        <v>-0.94318181818181823</v>
      </c>
      <c r="T350" s="73">
        <f t="shared" si="256"/>
        <v>-0.67774086378737541</v>
      </c>
      <c r="U350" s="83" t="s">
        <v>43</v>
      </c>
      <c r="V350" s="24">
        <f t="shared" si="256"/>
        <v>-0.4914841849148418</v>
      </c>
      <c r="W350" s="73">
        <f t="shared" si="256"/>
        <v>2.2857142857142909E-2</v>
      </c>
      <c r="X350" s="73">
        <f t="shared" si="256"/>
        <v>28.8</v>
      </c>
      <c r="Y350" s="73">
        <f t="shared" si="256"/>
        <v>3.1855670103092786</v>
      </c>
      <c r="Z350" s="73">
        <f t="shared" ref="Z350:AE350" si="257">Z348/U348-1</f>
        <v>1.4045801526717558</v>
      </c>
      <c r="AA350" s="24">
        <f t="shared" si="257"/>
        <v>2.2224880382775121</v>
      </c>
      <c r="AB350" s="73">
        <f t="shared" si="257"/>
        <v>0.6089385474860336</v>
      </c>
      <c r="AC350" s="73">
        <f t="shared" si="257"/>
        <v>-0.14093959731543626</v>
      </c>
      <c r="AD350" s="73">
        <f t="shared" si="257"/>
        <v>-0.1280788177339901</v>
      </c>
      <c r="AE350" s="73">
        <f t="shared" si="257"/>
        <v>-0.20634920634920639</v>
      </c>
      <c r="AF350" s="24">
        <v>-5.2709725315515987E-2</v>
      </c>
      <c r="AG350" s="73">
        <v>-4.166666666666663E-2</v>
      </c>
      <c r="AH350" s="73">
        <v>-0.12760416666666663</v>
      </c>
      <c r="AI350" s="73">
        <v>-0.42655367231638419</v>
      </c>
      <c r="AJ350" s="73">
        <v>-0.68799999999999994</v>
      </c>
      <c r="AK350" s="24">
        <v>-0.30094043887147337</v>
      </c>
      <c r="AL350" s="73">
        <v>1.0869565217391353E-2</v>
      </c>
      <c r="AM350" s="73">
        <v>-0.991044776119403</v>
      </c>
      <c r="AN350" s="73">
        <v>-0.64039408866995073</v>
      </c>
      <c r="AO350" s="85" t="s">
        <v>43</v>
      </c>
      <c r="AP350" s="24">
        <v>-0.65919282511210764</v>
      </c>
      <c r="AQ350" s="73">
        <v>-0.51971326164874554</v>
      </c>
      <c r="AR350" s="73">
        <v>38</v>
      </c>
      <c r="AS350" s="73">
        <v>0.20547945205479445</v>
      </c>
      <c r="AT350" s="73">
        <v>-1.0392156862745099</v>
      </c>
      <c r="AU350" s="24">
        <v>0.12171052631578938</v>
      </c>
      <c r="AV350" s="73">
        <v>-0.67164179104477606</v>
      </c>
      <c r="AW350" s="73">
        <v>-5.1282051282051322E-2</v>
      </c>
      <c r="AX350" s="73">
        <v>0.48863636363636354</v>
      </c>
      <c r="AY350" s="73">
        <v>4</v>
      </c>
      <c r="AZ350" s="24">
        <v>-0.13196480938416422</v>
      </c>
      <c r="BA350" s="73">
        <v>1.1590909090909092</v>
      </c>
      <c r="BB350" s="73">
        <v>-0.63063063063063063</v>
      </c>
      <c r="BC350" s="73">
        <v>-0.53435114503816794</v>
      </c>
      <c r="BD350" s="73">
        <v>-0.19999999999999996</v>
      </c>
      <c r="BE350" s="24">
        <v>-0.30743243243243246</v>
      </c>
    </row>
    <row r="351" spans="1:57">
      <c r="A351" s="50" t="s">
        <v>20</v>
      </c>
      <c r="B351" s="40"/>
      <c r="C351" s="52"/>
      <c r="D351" s="52"/>
      <c r="E351" s="52"/>
      <c r="F351" s="52"/>
      <c r="G351" s="40"/>
      <c r="H351" s="52"/>
      <c r="I351" s="52"/>
      <c r="J351" s="52"/>
      <c r="K351" s="52"/>
      <c r="L351" s="40"/>
      <c r="M351" s="52"/>
      <c r="N351" s="52"/>
      <c r="O351" s="52"/>
      <c r="P351" s="52"/>
      <c r="Q351" s="40"/>
      <c r="R351" s="52"/>
      <c r="S351" s="52"/>
      <c r="T351" s="52"/>
      <c r="U351" s="52"/>
      <c r="V351" s="40"/>
      <c r="W351" s="52"/>
      <c r="X351" s="52"/>
      <c r="Y351" s="52"/>
      <c r="Z351" s="52"/>
      <c r="AA351" s="40"/>
      <c r="AB351" s="52"/>
      <c r="AC351" s="52"/>
      <c r="AD351" s="52"/>
      <c r="AE351" s="52"/>
      <c r="AF351" s="40"/>
      <c r="AG351" s="52"/>
      <c r="AH351" s="52"/>
      <c r="AI351" s="52"/>
      <c r="AJ351" s="52"/>
      <c r="AK351" s="40"/>
      <c r="AL351" s="52"/>
      <c r="AM351" s="52"/>
      <c r="AN351" s="52"/>
      <c r="AO351" s="52"/>
      <c r="AP351" s="40"/>
      <c r="AQ351" s="52"/>
      <c r="AR351" s="52"/>
      <c r="AS351" s="52"/>
      <c r="AT351" s="52"/>
      <c r="AU351" s="40"/>
      <c r="AV351" s="52"/>
      <c r="AW351" s="52"/>
      <c r="AX351" s="52"/>
      <c r="AY351" s="52"/>
      <c r="AZ351" s="40"/>
      <c r="BA351" s="52"/>
      <c r="BB351" s="52"/>
      <c r="BC351" s="52"/>
      <c r="BD351" s="52"/>
      <c r="BE351" s="40"/>
    </row>
    <row r="352" spans="1:57" s="36" customFormat="1">
      <c r="A352" s="69" t="s">
        <v>30</v>
      </c>
      <c r="B352" s="56">
        <f t="shared" ref="B352:AE352" si="258">B323/B285</f>
        <v>0.17186165670367207</v>
      </c>
      <c r="C352" s="78">
        <f t="shared" si="258"/>
        <v>0.18329070758738278</v>
      </c>
      <c r="D352" s="78">
        <f t="shared" si="258"/>
        <v>0.22390572390572391</v>
      </c>
      <c r="E352" s="78">
        <f t="shared" si="258"/>
        <v>0.2413509060955519</v>
      </c>
      <c r="F352" s="78">
        <f t="shared" si="258"/>
        <v>0.13971880492091387</v>
      </c>
      <c r="G352" s="56">
        <f t="shared" si="258"/>
        <v>0.19796308084022915</v>
      </c>
      <c r="H352" s="78">
        <f t="shared" si="258"/>
        <v>0.23873517786561266</v>
      </c>
      <c r="I352" s="78">
        <f t="shared" si="258"/>
        <v>0.23848439821693909</v>
      </c>
      <c r="J352" s="78">
        <f t="shared" si="258"/>
        <v>0.23032069970845481</v>
      </c>
      <c r="K352" s="78">
        <f t="shared" si="258"/>
        <v>0.18018664752333094</v>
      </c>
      <c r="L352" s="56">
        <f t="shared" si="258"/>
        <v>0.22135416666666666</v>
      </c>
      <c r="M352" s="78">
        <f t="shared" si="258"/>
        <v>0.23115577889447236</v>
      </c>
      <c r="N352" s="78">
        <f t="shared" si="258"/>
        <v>0.25332400279916023</v>
      </c>
      <c r="O352" s="78">
        <f t="shared" si="258"/>
        <v>0.24687933425797504</v>
      </c>
      <c r="P352" s="78">
        <f t="shared" si="258"/>
        <v>0.23365122615803816</v>
      </c>
      <c r="Q352" s="56">
        <f t="shared" si="258"/>
        <v>0.24127704117236567</v>
      </c>
      <c r="R352" s="78">
        <f t="shared" si="258"/>
        <v>0.27517241379310342</v>
      </c>
      <c r="S352" s="78">
        <f t="shared" si="258"/>
        <v>0.2482614742698192</v>
      </c>
      <c r="T352" s="78">
        <f t="shared" si="258"/>
        <v>0.2406755805770584</v>
      </c>
      <c r="U352" s="78">
        <f t="shared" si="258"/>
        <v>0.21146085552865213</v>
      </c>
      <c r="V352" s="56">
        <f t="shared" si="258"/>
        <v>0.24513338139870222</v>
      </c>
      <c r="W352" s="78">
        <f t="shared" si="258"/>
        <v>0.21463022508038584</v>
      </c>
      <c r="X352" s="78">
        <f t="shared" si="258"/>
        <v>0.22560975609756098</v>
      </c>
      <c r="Y352" s="78">
        <f t="shared" si="258"/>
        <v>0.18970448045757865</v>
      </c>
      <c r="Z352" s="78">
        <f t="shared" si="258"/>
        <v>0.16260954235637781</v>
      </c>
      <c r="AA352" s="56">
        <f t="shared" si="258"/>
        <v>0.19964189794091317</v>
      </c>
      <c r="AB352" s="78">
        <f t="shared" si="258"/>
        <v>0.18049792531120332</v>
      </c>
      <c r="AC352" s="78">
        <f t="shared" si="258"/>
        <v>0.20327868852459016</v>
      </c>
      <c r="AD352" s="78">
        <f t="shared" si="258"/>
        <v>0.18162618796198521</v>
      </c>
      <c r="AE352" s="78">
        <f t="shared" si="258"/>
        <v>7.7314343845371308E-2</v>
      </c>
      <c r="AF352" s="56">
        <v>0.15962194801785246</v>
      </c>
      <c r="AG352" s="78">
        <v>0.13740458015267176</v>
      </c>
      <c r="AH352" s="78">
        <v>0.15065243179122181</v>
      </c>
      <c r="AI352" s="78">
        <v>0.14805825242718446</v>
      </c>
      <c r="AJ352" s="78">
        <v>8.862275449101796E-2</v>
      </c>
      <c r="AK352" s="56">
        <v>0.1313249488154431</v>
      </c>
      <c r="AL352" s="78">
        <v>4.4016506189821183E-2</v>
      </c>
      <c r="AM352" s="78">
        <v>7.3509015256588067E-2</v>
      </c>
      <c r="AN352" s="78">
        <v>8.3676268861454045E-2</v>
      </c>
      <c r="AO352" s="78">
        <v>1.5427769985974754E-2</v>
      </c>
      <c r="AP352" s="56">
        <v>5.4325259515570934E-2</v>
      </c>
      <c r="AQ352" s="78">
        <v>1.4903129657228018E-3</v>
      </c>
      <c r="AR352" s="78">
        <v>1.2158054711246201E-2</v>
      </c>
      <c r="AS352" s="78">
        <v>4.1602465331278891E-2</v>
      </c>
      <c r="AT352" s="78">
        <v>-6.1349693251533744E-3</v>
      </c>
      <c r="AU352" s="56">
        <v>1.2167300380228136E-2</v>
      </c>
      <c r="AV352" s="78">
        <v>7.9617834394904458E-3</v>
      </c>
      <c r="AW352" s="78">
        <v>4.746835443037975E-2</v>
      </c>
      <c r="AX352" s="78">
        <v>3.4645669291338582E-2</v>
      </c>
      <c r="AY352" s="78">
        <v>2.3041474654377881E-2</v>
      </c>
      <c r="AZ352" s="56">
        <v>2.8279654359780047E-2</v>
      </c>
      <c r="BA352" s="78">
        <v>3.2310177705977385E-3</v>
      </c>
      <c r="BB352" s="78">
        <v>3.3222591362126247E-3</v>
      </c>
      <c r="BC352" s="78">
        <v>-3.3112582781456954E-3</v>
      </c>
      <c r="BD352" s="78">
        <v>-6.4724919093851136E-3</v>
      </c>
      <c r="BE352" s="56">
        <v>-8.1866557511256651E-4</v>
      </c>
    </row>
    <row r="353" spans="1:57" s="36" customFormat="1">
      <c r="A353" s="69" t="s">
        <v>38</v>
      </c>
      <c r="B353" s="56">
        <f t="shared" ref="B353:AE353" si="259">B326/B285</f>
        <v>0.1248932536293766</v>
      </c>
      <c r="C353" s="78">
        <f t="shared" si="259"/>
        <v>0.13895993179880647</v>
      </c>
      <c r="D353" s="78">
        <f t="shared" si="259"/>
        <v>0.15151515151515152</v>
      </c>
      <c r="E353" s="78">
        <f t="shared" si="259"/>
        <v>0.17380560131795716</v>
      </c>
      <c r="F353" s="78">
        <f t="shared" si="259"/>
        <v>0.11247803163444639</v>
      </c>
      <c r="G353" s="56">
        <f t="shared" si="259"/>
        <v>0.14470613197538723</v>
      </c>
      <c r="H353" s="78">
        <f t="shared" si="259"/>
        <v>0.18181818181818182</v>
      </c>
      <c r="I353" s="78">
        <f t="shared" si="259"/>
        <v>0.17310549777117384</v>
      </c>
      <c r="J353" s="78">
        <f t="shared" si="259"/>
        <v>0.1683673469387755</v>
      </c>
      <c r="K353" s="78">
        <f t="shared" si="259"/>
        <v>0.12993539124192391</v>
      </c>
      <c r="L353" s="56">
        <f t="shared" si="259"/>
        <v>0.16276041666666666</v>
      </c>
      <c r="M353" s="78">
        <f t="shared" si="259"/>
        <v>0.18592964824120603</v>
      </c>
      <c r="N353" s="78">
        <f t="shared" si="259"/>
        <v>0.1868439468159552</v>
      </c>
      <c r="O353" s="78">
        <f t="shared" si="259"/>
        <v>0.16574202496532595</v>
      </c>
      <c r="P353" s="78">
        <f t="shared" si="259"/>
        <v>0.18256130790190736</v>
      </c>
      <c r="Q353" s="56">
        <f t="shared" si="259"/>
        <v>0.18021632937892534</v>
      </c>
      <c r="R353" s="78">
        <f t="shared" si="259"/>
        <v>0.21379310344827587</v>
      </c>
      <c r="S353" s="78">
        <f t="shared" si="259"/>
        <v>0.19401947148817802</v>
      </c>
      <c r="T353" s="78">
        <f t="shared" si="259"/>
        <v>0.18508092892329345</v>
      </c>
      <c r="U353" s="78">
        <f t="shared" si="259"/>
        <v>0.16464891041162227</v>
      </c>
      <c r="V353" s="56">
        <f t="shared" si="259"/>
        <v>0.19033886085075702</v>
      </c>
      <c r="W353" s="78">
        <f t="shared" si="259"/>
        <v>0.17363344051446947</v>
      </c>
      <c r="X353" s="78">
        <f t="shared" si="259"/>
        <v>0.16898954703832753</v>
      </c>
      <c r="Y353" s="78">
        <f t="shared" si="259"/>
        <v>0.14680648236415633</v>
      </c>
      <c r="Z353" s="78">
        <f t="shared" si="259"/>
        <v>0.13047711781888996</v>
      </c>
      <c r="AA353" s="56">
        <f t="shared" si="259"/>
        <v>0.15622202327663384</v>
      </c>
      <c r="AB353" s="78">
        <f t="shared" si="259"/>
        <v>0.15871369294605808</v>
      </c>
      <c r="AC353" s="78">
        <f t="shared" si="259"/>
        <v>0.17595628415300546</v>
      </c>
      <c r="AD353" s="78">
        <f t="shared" si="259"/>
        <v>0.14783526927138332</v>
      </c>
      <c r="AE353" s="78">
        <f t="shared" si="259"/>
        <v>6.8158697863682602E-2</v>
      </c>
      <c r="AF353" s="56">
        <v>0.1367813074297716</v>
      </c>
      <c r="AG353" s="78">
        <v>0.11777535441657579</v>
      </c>
      <c r="AH353" s="78">
        <v>0.12574139976275209</v>
      </c>
      <c r="AI353" s="78">
        <v>0.12135922330097088</v>
      </c>
      <c r="AJ353" s="78">
        <v>7.0658682634730532E-2</v>
      </c>
      <c r="AK353" s="56">
        <v>0.1090962269669494</v>
      </c>
      <c r="AL353" s="78">
        <v>4.951856946354883E-2</v>
      </c>
      <c r="AM353" s="78">
        <v>6.7961165048543687E-2</v>
      </c>
      <c r="AN353" s="78">
        <v>7.5445816186556922E-2</v>
      </c>
      <c r="AO353" s="78">
        <v>1.5427769985974754E-2</v>
      </c>
      <c r="AP353" s="56">
        <v>5.2249134948096888E-2</v>
      </c>
      <c r="AQ353" s="78">
        <v>1.9374068554396422E-2</v>
      </c>
      <c r="AR353" s="78">
        <v>1.9756838905775075E-2</v>
      </c>
      <c r="AS353" s="78">
        <v>4.930662557781202E-2</v>
      </c>
      <c r="AT353" s="78">
        <v>4.601226993865031E-3</v>
      </c>
      <c r="AU353" s="56">
        <v>2.3193916349809884E-2</v>
      </c>
      <c r="AV353" s="78">
        <v>2.5477707006369428E-2</v>
      </c>
      <c r="AW353" s="78">
        <v>5.3797468354430382E-2</v>
      </c>
      <c r="AX353" s="78">
        <v>3.7795275590551181E-2</v>
      </c>
      <c r="AY353" s="78">
        <v>3.2258064516129031E-2</v>
      </c>
      <c r="AZ353" s="56">
        <v>3.7313432835820892E-2</v>
      </c>
      <c r="BA353" s="78">
        <v>1.4539579967689823E-2</v>
      </c>
      <c r="BB353" s="78">
        <v>1.1627906976744186E-2</v>
      </c>
      <c r="BC353" s="78">
        <v>9.9337748344370865E-3</v>
      </c>
      <c r="BD353" s="78">
        <v>3.2362459546925568E-3</v>
      </c>
      <c r="BE353" s="56">
        <v>9.8239869013507976E-3</v>
      </c>
    </row>
    <row r="354" spans="1:57" s="36" customFormat="1">
      <c r="A354" s="69" t="s">
        <v>10</v>
      </c>
      <c r="B354" s="56">
        <f t="shared" ref="B354:M354" si="260">B329/B285</f>
        <v>0.27412467976088811</v>
      </c>
      <c r="C354" s="78">
        <f t="shared" si="260"/>
        <v>0.29326513213981242</v>
      </c>
      <c r="D354" s="78">
        <f t="shared" si="260"/>
        <v>0.33333333333333331</v>
      </c>
      <c r="E354" s="78">
        <f t="shared" si="260"/>
        <v>0.34761120263591433</v>
      </c>
      <c r="F354" s="78">
        <f t="shared" si="260"/>
        <v>0.25834797891036909</v>
      </c>
      <c r="G354" s="56">
        <f t="shared" si="260"/>
        <v>0.30893273923191172</v>
      </c>
      <c r="H354" s="78">
        <f t="shared" si="260"/>
        <v>0.34861660079051382</v>
      </c>
      <c r="I354" s="78">
        <f t="shared" si="260"/>
        <v>0.35066864784546803</v>
      </c>
      <c r="J354" s="78">
        <f t="shared" si="260"/>
        <v>0.3432944606413994</v>
      </c>
      <c r="K354" s="78">
        <f t="shared" si="260"/>
        <v>0.29432878679109836</v>
      </c>
      <c r="L354" s="56">
        <f t="shared" si="260"/>
        <v>0.33370535714285715</v>
      </c>
      <c r="M354" s="78">
        <f t="shared" si="260"/>
        <v>0.33811916726489588</v>
      </c>
      <c r="N354" s="78">
        <v>0.35799999999999998</v>
      </c>
      <c r="O354" s="78">
        <f t="shared" ref="O354:Z354" si="261">O329/O285</f>
        <v>0.35020804438280168</v>
      </c>
      <c r="P354" s="78">
        <f t="shared" si="261"/>
        <v>0.33855585831062668</v>
      </c>
      <c r="Q354" s="56">
        <f t="shared" si="261"/>
        <v>0.34612700628053034</v>
      </c>
      <c r="R354" s="78">
        <f t="shared" si="261"/>
        <v>0.37172413793103448</v>
      </c>
      <c r="S354" s="78">
        <f t="shared" si="261"/>
        <v>0.34770514603616132</v>
      </c>
      <c r="T354" s="78">
        <f t="shared" si="261"/>
        <v>0.33849401829697395</v>
      </c>
      <c r="U354" s="78">
        <f t="shared" si="261"/>
        <v>0.32364810330912025</v>
      </c>
      <c r="V354" s="56">
        <f t="shared" si="261"/>
        <v>0.34625090122566693</v>
      </c>
      <c r="W354" s="78">
        <f t="shared" si="261"/>
        <v>0.32315112540192925</v>
      </c>
      <c r="X354" s="78">
        <f t="shared" si="261"/>
        <v>0.34494773519163763</v>
      </c>
      <c r="Y354" s="78">
        <f t="shared" si="261"/>
        <v>0.31363203050524308</v>
      </c>
      <c r="Z354" s="78">
        <f t="shared" si="261"/>
        <v>0.28821811100292111</v>
      </c>
      <c r="AA354" s="56">
        <v>0.31900000000000001</v>
      </c>
      <c r="AB354" s="78">
        <f t="shared" ref="AB354:AE354" si="262">AB329/AB285</f>
        <v>0.30601659751037347</v>
      </c>
      <c r="AC354" s="78">
        <f t="shared" si="262"/>
        <v>0.32677595628415301</v>
      </c>
      <c r="AD354" s="78">
        <f t="shared" si="262"/>
        <v>0.29883843717001057</v>
      </c>
      <c r="AE354" s="78">
        <f t="shared" si="262"/>
        <v>0.19125127161749747</v>
      </c>
      <c r="AF354" s="56">
        <v>0.27960094512995537</v>
      </c>
      <c r="AG354" s="78">
        <v>0.25299890948745912</v>
      </c>
      <c r="AH354" s="78">
        <v>0.27520759193357058</v>
      </c>
      <c r="AI354" s="78">
        <v>0.2803398058252427</v>
      </c>
      <c r="AJ354" s="78">
        <v>0.22035928143712574</v>
      </c>
      <c r="AK354" s="56">
        <v>0.25709271716876281</v>
      </c>
      <c r="AL354" s="78">
        <v>0.18707015130674004</v>
      </c>
      <c r="AM354" s="78">
        <v>0.22052704576976423</v>
      </c>
      <c r="AN354" s="78">
        <v>0.23319615912208505</v>
      </c>
      <c r="AO354" s="78">
        <v>0.15568022440392706</v>
      </c>
      <c r="AP354" s="56">
        <v>0.19930795847750865</v>
      </c>
      <c r="AQ354" s="78">
        <v>0.15648286140089418</v>
      </c>
      <c r="AR354" s="78">
        <v>0.15653495440729484</v>
      </c>
      <c r="AS354" s="78">
        <v>0.18335901386748846</v>
      </c>
      <c r="AT354" s="78">
        <v>0.1303680981595092</v>
      </c>
      <c r="AU354" s="56">
        <v>0.15665399239543726</v>
      </c>
      <c r="AV354" s="78">
        <v>0.15764331210191082</v>
      </c>
      <c r="AW354" s="78">
        <v>0.20411392405063292</v>
      </c>
      <c r="AX354" s="78">
        <v>0.1921259842519685</v>
      </c>
      <c r="AY354" s="78">
        <v>0.16129032258064516</v>
      </c>
      <c r="AZ354" s="56">
        <v>0.17871170463472114</v>
      </c>
      <c r="BA354" s="78">
        <v>0.25848142164781907</v>
      </c>
      <c r="BB354" s="78">
        <v>0.26800000000000002</v>
      </c>
      <c r="BC354" s="78">
        <v>0.26400000000000001</v>
      </c>
      <c r="BD354" s="78">
        <v>0.27993527508090615</v>
      </c>
      <c r="BE354" s="56">
        <v>0.26729431027425299</v>
      </c>
    </row>
    <row r="355" spans="1:57" s="36" customFormat="1">
      <c r="A355" s="69" t="s">
        <v>19</v>
      </c>
      <c r="B355" s="56">
        <f t="shared" ref="B355:AE355" si="263">B340/B285</f>
        <v>8.1340734415029883E-2</v>
      </c>
      <c r="C355" s="78">
        <f t="shared" si="263"/>
        <v>8.780903665814152E-2</v>
      </c>
      <c r="D355" s="78">
        <f t="shared" si="263"/>
        <v>0.1531986531986532</v>
      </c>
      <c r="E355" s="78">
        <f t="shared" si="263"/>
        <v>0.28830313014827019</v>
      </c>
      <c r="F355" s="78">
        <f t="shared" si="263"/>
        <v>0.14323374340949033</v>
      </c>
      <c r="G355" s="56">
        <f t="shared" si="263"/>
        <v>0.16931890515595163</v>
      </c>
      <c r="H355" s="78">
        <f t="shared" si="263"/>
        <v>0.11778656126482213</v>
      </c>
      <c r="I355" s="78">
        <f t="shared" si="263"/>
        <v>0.12109955423476969</v>
      </c>
      <c r="J355" s="78">
        <f t="shared" si="263"/>
        <v>0.10641399416909621</v>
      </c>
      <c r="K355" s="78">
        <f t="shared" si="263"/>
        <v>7.2505384063173015E-2</v>
      </c>
      <c r="L355" s="56">
        <f t="shared" si="263"/>
        <v>0.10398065476190477</v>
      </c>
      <c r="M355" s="78">
        <f t="shared" si="263"/>
        <v>6.604450825556353E-2</v>
      </c>
      <c r="N355" s="78">
        <f t="shared" si="263"/>
        <v>7.9776067179846047E-2</v>
      </c>
      <c r="O355" s="78">
        <f t="shared" si="263"/>
        <v>6.8654646324549234E-2</v>
      </c>
      <c r="P355" s="78">
        <f t="shared" si="263"/>
        <v>6.2670299727520432E-2</v>
      </c>
      <c r="Q355" s="56">
        <f t="shared" si="263"/>
        <v>6.9260293091416611E-2</v>
      </c>
      <c r="R355" s="78">
        <f t="shared" si="263"/>
        <v>9.1724137931034483E-2</v>
      </c>
      <c r="S355" s="78">
        <f t="shared" si="263"/>
        <v>5.9805285118219746E-2</v>
      </c>
      <c r="T355" s="78">
        <f t="shared" si="263"/>
        <v>7.5299085151301903E-2</v>
      </c>
      <c r="U355" s="78">
        <f t="shared" si="263"/>
        <v>7.5060532687651338E-2</v>
      </c>
      <c r="V355" s="56">
        <f t="shared" si="263"/>
        <v>7.5522710886806052E-2</v>
      </c>
      <c r="W355" s="78">
        <f t="shared" si="263"/>
        <v>9.2443729903536984E-2</v>
      </c>
      <c r="X355" s="78">
        <f t="shared" si="263"/>
        <v>9.4947735191637628E-2</v>
      </c>
      <c r="Y355" s="78">
        <f t="shared" si="263"/>
        <v>8.0076263107721646E-2</v>
      </c>
      <c r="Z355" s="78">
        <f t="shared" si="263"/>
        <v>7.4001947419668937E-2</v>
      </c>
      <c r="AA355" s="56">
        <f t="shared" si="263"/>
        <v>8.5944494180841546E-2</v>
      </c>
      <c r="AB355" s="78">
        <f t="shared" si="263"/>
        <v>6.8464730290456438E-2</v>
      </c>
      <c r="AC355" s="78">
        <f t="shared" si="263"/>
        <v>9.1803278688524587E-2</v>
      </c>
      <c r="AD355" s="78">
        <f t="shared" si="263"/>
        <v>9.714889123548047E-2</v>
      </c>
      <c r="AE355" s="78">
        <f t="shared" si="263"/>
        <v>7.9348931841302137E-2</v>
      </c>
      <c r="AF355" s="56">
        <v>8.4011551588343392E-2</v>
      </c>
      <c r="AG355" s="78">
        <v>7.9607415485278082E-2</v>
      </c>
      <c r="AH355" s="78">
        <v>0.10676156583629894</v>
      </c>
      <c r="AI355" s="78">
        <v>0.10194174757281553</v>
      </c>
      <c r="AJ355" s="78">
        <v>9.8203592814371257E-2</v>
      </c>
      <c r="AK355" s="56">
        <v>9.6226966949400403E-2</v>
      </c>
      <c r="AL355" s="78">
        <v>0.10041265474552957</v>
      </c>
      <c r="AM355" s="78">
        <v>0.27600554785020803</v>
      </c>
      <c r="AN355" s="78">
        <v>0.12482853223593965</v>
      </c>
      <c r="AO355" s="78">
        <v>9.1164095371669002E-2</v>
      </c>
      <c r="AP355" s="56">
        <v>0.14809688581314878</v>
      </c>
      <c r="AQ355" s="78">
        <v>7.7496274217585689E-2</v>
      </c>
      <c r="AR355" s="78">
        <v>9.5744680851063829E-2</v>
      </c>
      <c r="AS355" s="78">
        <v>9.861325115562404E-2</v>
      </c>
      <c r="AT355" s="78">
        <v>9.815950920245399E-2</v>
      </c>
      <c r="AU355" s="56">
        <v>9.2395437262357411E-2</v>
      </c>
      <c r="AV355" s="78">
        <v>0.11624203821656051</v>
      </c>
      <c r="AW355" s="78">
        <v>0.12974683544303797</v>
      </c>
      <c r="AX355" s="78">
        <v>0.12283464566929134</v>
      </c>
      <c r="AY355" s="78">
        <v>0.11827956989247312</v>
      </c>
      <c r="AZ355" s="56">
        <v>0.12175962293794187</v>
      </c>
      <c r="BA355" s="78">
        <v>0.11147011308562198</v>
      </c>
      <c r="BB355" s="78">
        <v>0.14950166112956811</v>
      </c>
      <c r="BC355" s="78">
        <v>0.12086092715231789</v>
      </c>
      <c r="BD355" s="78">
        <v>0.12621359223300971</v>
      </c>
      <c r="BE355" s="56">
        <v>0.12689316414244781</v>
      </c>
    </row>
    <row r="356" spans="1:57" s="36" customFormat="1" ht="4.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c r="AA356" s="44"/>
      <c r="AB356" s="44"/>
      <c r="AC356" s="44"/>
      <c r="AD356" s="44"/>
      <c r="AE356" s="44"/>
      <c r="AF356" s="44"/>
      <c r="AG356" s="44"/>
      <c r="AH356" s="44"/>
      <c r="AI356" s="44"/>
      <c r="AJ356" s="44"/>
      <c r="AK356" s="44"/>
      <c r="AL356" s="44"/>
      <c r="AM356" s="44"/>
      <c r="AN356" s="44"/>
      <c r="AO356" s="44"/>
      <c r="AP356" s="44"/>
      <c r="AQ356" s="44"/>
      <c r="AR356" s="44"/>
      <c r="AS356" s="44"/>
      <c r="AT356" s="44"/>
      <c r="AU356" s="44"/>
      <c r="AV356" s="44"/>
      <c r="AW356" s="44"/>
      <c r="AX356" s="44"/>
      <c r="AY356" s="44"/>
      <c r="AZ356" s="44"/>
      <c r="BA356" s="44"/>
      <c r="BB356" s="44"/>
      <c r="BC356" s="44"/>
      <c r="BD356" s="44"/>
      <c r="BE356" s="44"/>
    </row>
    <row r="357" spans="1:57" ht="21">
      <c r="A357" s="35" t="s">
        <v>15</v>
      </c>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c r="AU357" s="28"/>
      <c r="AV357" s="28"/>
      <c r="AW357" s="28"/>
      <c r="AX357" s="28"/>
      <c r="AY357" s="28"/>
      <c r="AZ357" s="28"/>
      <c r="BA357" s="28"/>
      <c r="BB357" s="28"/>
      <c r="BC357" s="28"/>
      <c r="BD357" s="28"/>
      <c r="BE357" s="28"/>
    </row>
    <row r="358" spans="1:57">
      <c r="A358" s="40" t="s">
        <v>76</v>
      </c>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1"/>
      <c r="AL358" s="41"/>
      <c r="AM358" s="41"/>
      <c r="AN358" s="41"/>
      <c r="AO358" s="41"/>
      <c r="AP358" s="41"/>
      <c r="AQ358" s="41"/>
      <c r="AR358" s="41"/>
      <c r="AS358" s="41"/>
      <c r="AT358" s="41"/>
      <c r="AU358" s="41"/>
      <c r="AV358" s="41"/>
      <c r="AW358" s="41"/>
      <c r="AX358" s="41"/>
      <c r="AY358" s="41"/>
      <c r="AZ358" s="41"/>
      <c r="BA358" s="41"/>
      <c r="BB358" s="41"/>
      <c r="BC358" s="41"/>
      <c r="BD358" s="41"/>
      <c r="BE358" s="41"/>
    </row>
    <row r="359" spans="1:57" s="36" customFormat="1">
      <c r="A359" s="69" t="s">
        <v>62</v>
      </c>
      <c r="B359" s="37">
        <v>1303.623</v>
      </c>
      <c r="C359" s="70">
        <v>313.89999999999998</v>
      </c>
      <c r="D359" s="70">
        <v>325.858</v>
      </c>
      <c r="E359" s="70">
        <v>328.83300000000003</v>
      </c>
      <c r="F359" s="70">
        <f>G359-E359-D359-C359</f>
        <v>337.18799999999999</v>
      </c>
      <c r="G359" s="37">
        <v>1305.779</v>
      </c>
      <c r="H359" s="70">
        <v>324.49</v>
      </c>
      <c r="I359" s="70">
        <v>326.71300000000002</v>
      </c>
      <c r="J359" s="70">
        <v>332.48399999999998</v>
      </c>
      <c r="K359" s="70">
        <f>L359-J359-I359-H359</f>
        <v>333.98099999999999</v>
      </c>
      <c r="L359" s="37">
        <v>1317.6679999999999</v>
      </c>
      <c r="M359" s="70">
        <v>343.12</v>
      </c>
      <c r="N359" s="70">
        <v>340</v>
      </c>
      <c r="O359" s="70">
        <v>347.37700000000001</v>
      </c>
      <c r="P359" s="70">
        <f>Q359-O359-N359-M359</f>
        <v>349.97200000000009</v>
      </c>
      <c r="Q359" s="37">
        <v>1380.4690000000001</v>
      </c>
      <c r="R359" s="70">
        <v>329.40699999999998</v>
      </c>
      <c r="S359" s="70">
        <v>332.44099999999997</v>
      </c>
      <c r="T359" s="70">
        <v>350.678</v>
      </c>
      <c r="U359" s="70">
        <f>V359-T359-S359-R359</f>
        <v>341.07600000000019</v>
      </c>
      <c r="V359" s="37">
        <v>1353.6020000000001</v>
      </c>
      <c r="W359" s="70">
        <v>332.22199999999998</v>
      </c>
      <c r="X359" s="70">
        <v>329.83300000000003</v>
      </c>
      <c r="Y359" s="70">
        <v>338.55399999999997</v>
      </c>
      <c r="Z359" s="70">
        <f>AA359-Y359-X359-W359</f>
        <v>339.50800000000004</v>
      </c>
      <c r="AA359" s="37">
        <v>1340.117</v>
      </c>
      <c r="AB359" s="70">
        <v>345.57600000000002</v>
      </c>
      <c r="AC359" s="70">
        <v>358.74400000000003</v>
      </c>
      <c r="AD359" s="70">
        <v>359.62400000000002</v>
      </c>
      <c r="AE359" s="70">
        <f>AF359-AD359-AC359-AB359</f>
        <v>368.81699999999989</v>
      </c>
      <c r="AF359" s="37">
        <v>1432.761</v>
      </c>
      <c r="AG359" s="70">
        <v>355</v>
      </c>
      <c r="AH359" s="70">
        <v>365</v>
      </c>
      <c r="AI359" s="70">
        <v>385</v>
      </c>
      <c r="AJ359" s="70">
        <v>399</v>
      </c>
      <c r="AK359" s="37">
        <v>1504</v>
      </c>
      <c r="AL359" s="70">
        <v>393</v>
      </c>
      <c r="AM359" s="70">
        <v>391</v>
      </c>
      <c r="AN359" s="70">
        <v>389</v>
      </c>
      <c r="AO359" s="70">
        <v>405</v>
      </c>
      <c r="AP359" s="37">
        <v>1578</v>
      </c>
      <c r="AQ359" s="70">
        <v>395</v>
      </c>
      <c r="AR359" s="70">
        <v>377</v>
      </c>
      <c r="AS359" s="70">
        <v>384</v>
      </c>
      <c r="AT359" s="70">
        <v>392</v>
      </c>
      <c r="AU359" s="37">
        <v>1548</v>
      </c>
      <c r="AV359" s="70">
        <v>384</v>
      </c>
      <c r="AW359" s="70">
        <v>407</v>
      </c>
      <c r="AX359" s="70">
        <v>367</v>
      </c>
      <c r="AY359" s="70">
        <v>379</v>
      </c>
      <c r="AZ359" s="37">
        <v>1537</v>
      </c>
      <c r="BA359" s="70">
        <v>352</v>
      </c>
      <c r="BB359" s="70">
        <v>336</v>
      </c>
      <c r="BC359" s="70">
        <v>333</v>
      </c>
      <c r="BD359" s="70">
        <v>370</v>
      </c>
      <c r="BE359" s="37">
        <v>1391</v>
      </c>
    </row>
    <row r="360" spans="1:57" ht="10.5" customHeight="1">
      <c r="A360" s="71" t="s">
        <v>7</v>
      </c>
      <c r="B360" s="24"/>
      <c r="C360" s="72"/>
      <c r="D360" s="72">
        <f>D359/C359-1</f>
        <v>3.8094934692577409E-2</v>
      </c>
      <c r="E360" s="72">
        <f>E359/D359-1</f>
        <v>9.1297436306612134E-3</v>
      </c>
      <c r="F360" s="72">
        <f>F359/E359-1</f>
        <v>2.5408033865214064E-2</v>
      </c>
      <c r="G360" s="24"/>
      <c r="H360" s="72">
        <f>H359/F359-1</f>
        <v>-3.7658516910447526E-2</v>
      </c>
      <c r="I360" s="72">
        <f>I359/H359-1</f>
        <v>6.8507504083330506E-3</v>
      </c>
      <c r="J360" s="72">
        <f>J359/I359-1</f>
        <v>1.7663821151897796E-2</v>
      </c>
      <c r="K360" s="72">
        <f>K359/J359-1</f>
        <v>4.5024722994189137E-3</v>
      </c>
      <c r="L360" s="24"/>
      <c r="M360" s="72">
        <f>M359/K359-1</f>
        <v>2.7363832074279726E-2</v>
      </c>
      <c r="N360" s="72">
        <f>N359/M359-1</f>
        <v>-9.0930286780135372E-3</v>
      </c>
      <c r="O360" s="72">
        <f>O359/N359-1</f>
        <v>2.1697058823529458E-2</v>
      </c>
      <c r="P360" s="72">
        <f>P359/O359-1</f>
        <v>7.4702700524216237E-3</v>
      </c>
      <c r="Q360" s="24"/>
      <c r="R360" s="72">
        <f>R359/P359-1</f>
        <v>-5.8761843804647551E-2</v>
      </c>
      <c r="S360" s="72">
        <f>S359/R359-1</f>
        <v>9.2104903660212845E-3</v>
      </c>
      <c r="T360" s="72">
        <f>T359/S359-1</f>
        <v>5.4857854476433543E-2</v>
      </c>
      <c r="U360" s="72">
        <f>U359/T359-1</f>
        <v>-2.7381244332406962E-2</v>
      </c>
      <c r="V360" s="24"/>
      <c r="W360" s="72">
        <f>W359/U359-1</f>
        <v>-2.5959023795283809E-2</v>
      </c>
      <c r="X360" s="72">
        <f>X359/W359-1</f>
        <v>-7.1909747096818855E-3</v>
      </c>
      <c r="Y360" s="72">
        <f>Y359/X359-1</f>
        <v>2.6440653300306316E-2</v>
      </c>
      <c r="Z360" s="72">
        <v>2.8178665737226272E-3</v>
      </c>
      <c r="AA360" s="24"/>
      <c r="AB360" s="72">
        <f>AB359/Z359-1</f>
        <v>1.7872921993001611E-2</v>
      </c>
      <c r="AC360" s="72">
        <f>AC359/AB359-1</f>
        <v>3.8104497997546227E-2</v>
      </c>
      <c r="AD360" s="72">
        <f>AD359/AC359-1</f>
        <v>2.4530026983029529E-3</v>
      </c>
      <c r="AE360" s="72">
        <f>AE359/AD359-1</f>
        <v>2.5562810046047657E-2</v>
      </c>
      <c r="AF360" s="24"/>
      <c r="AG360" s="72">
        <v>-3.7463023667563822E-2</v>
      </c>
      <c r="AH360" s="72">
        <v>2.8169014084507005E-2</v>
      </c>
      <c r="AI360" s="72">
        <v>5.4794520547945202E-2</v>
      </c>
      <c r="AJ360" s="72">
        <v>3.6363636363636376E-2</v>
      </c>
      <c r="AK360" s="24"/>
      <c r="AL360" s="72">
        <v>-1.5037593984962405E-2</v>
      </c>
      <c r="AM360" s="72">
        <v>-5.0890585241730735E-3</v>
      </c>
      <c r="AN360" s="72">
        <v>-5.1150895140664732E-3</v>
      </c>
      <c r="AO360" s="72">
        <v>4.1131105398457546E-2</v>
      </c>
      <c r="AP360" s="24"/>
      <c r="AQ360" s="72">
        <v>-2.4691358024691357E-2</v>
      </c>
      <c r="AR360" s="72">
        <v>-4.5569620253164578E-2</v>
      </c>
      <c r="AS360" s="72">
        <v>1.8567639257294433E-2</v>
      </c>
      <c r="AT360" s="72">
        <v>2.0833333333333259E-2</v>
      </c>
      <c r="AU360" s="24"/>
      <c r="AV360" s="72">
        <v>-2.0408163265306145E-2</v>
      </c>
      <c r="AW360" s="72">
        <v>5.9895833333333259E-2</v>
      </c>
      <c r="AX360" s="72">
        <v>-9.8280098280098316E-2</v>
      </c>
      <c r="AY360" s="72">
        <v>3.2697547683923744E-2</v>
      </c>
      <c r="AZ360" s="24"/>
      <c r="BA360" s="72">
        <v>-7.1240105540897103E-2</v>
      </c>
      <c r="BB360" s="72">
        <v>-4.5454545454545414E-2</v>
      </c>
      <c r="BC360" s="72">
        <v>-8.9285714285713969E-3</v>
      </c>
      <c r="BD360" s="72">
        <v>0.11111111111111116</v>
      </c>
      <c r="BE360" s="24"/>
    </row>
    <row r="361" spans="1:57" ht="11.25" customHeight="1">
      <c r="A361" s="71" t="s">
        <v>8</v>
      </c>
      <c r="B361" s="24"/>
      <c r="C361" s="73"/>
      <c r="D361" s="73"/>
      <c r="E361" s="73"/>
      <c r="F361" s="73"/>
      <c r="G361" s="24">
        <f t="shared" ref="G361:Y361" si="264">G359/B359-1</f>
        <v>1.6538523791003179E-3</v>
      </c>
      <c r="H361" s="73">
        <f t="shared" si="264"/>
        <v>3.3736858872252418E-2</v>
      </c>
      <c r="I361" s="73">
        <f t="shared" si="264"/>
        <v>2.6238422871311951E-3</v>
      </c>
      <c r="J361" s="73">
        <f t="shared" si="264"/>
        <v>1.1102900256360959E-2</v>
      </c>
      <c r="K361" s="73">
        <f t="shared" si="264"/>
        <v>-9.5110146268549967E-3</v>
      </c>
      <c r="L361" s="24">
        <f t="shared" si="264"/>
        <v>9.1049097894819742E-3</v>
      </c>
      <c r="M361" s="73">
        <f t="shared" si="264"/>
        <v>5.741317143825686E-2</v>
      </c>
      <c r="N361" s="73">
        <f t="shared" si="264"/>
        <v>4.0668721477259862E-2</v>
      </c>
      <c r="O361" s="73">
        <f t="shared" si="264"/>
        <v>4.479313290263609E-2</v>
      </c>
      <c r="P361" s="73">
        <f t="shared" si="264"/>
        <v>4.7879969219806195E-2</v>
      </c>
      <c r="Q361" s="24">
        <f t="shared" si="264"/>
        <v>4.7660715749339166E-2</v>
      </c>
      <c r="R361" s="73">
        <f t="shared" si="264"/>
        <v>-3.9965609699230686E-2</v>
      </c>
      <c r="S361" s="73">
        <f t="shared" si="264"/>
        <v>-2.2232352941176536E-2</v>
      </c>
      <c r="T361" s="73">
        <f t="shared" si="264"/>
        <v>9.5026441013652541E-3</v>
      </c>
      <c r="U361" s="73">
        <f t="shared" si="264"/>
        <v>-2.5419176391253906E-2</v>
      </c>
      <c r="V361" s="24">
        <f t="shared" si="264"/>
        <v>-1.9462226243399883E-2</v>
      </c>
      <c r="W361" s="73">
        <f t="shared" si="264"/>
        <v>8.545659321143706E-3</v>
      </c>
      <c r="X361" s="73">
        <f t="shared" si="264"/>
        <v>-7.8450010678584592E-3</v>
      </c>
      <c r="Y361" s="73">
        <f t="shared" si="264"/>
        <v>-3.4573027107488996E-2</v>
      </c>
      <c r="Z361" s="73">
        <v>-4.5972158697772381E-3</v>
      </c>
      <c r="AA361" s="24">
        <f t="shared" ref="AA361:AE361" si="265">AA359/V359-1</f>
        <v>-9.9623079753133892E-3</v>
      </c>
      <c r="AB361" s="73">
        <f t="shared" si="265"/>
        <v>4.0196013509039341E-2</v>
      </c>
      <c r="AC361" s="73">
        <f t="shared" si="265"/>
        <v>8.765344886654769E-2</v>
      </c>
      <c r="AD361" s="73">
        <f t="shared" si="265"/>
        <v>6.2235271182736085E-2</v>
      </c>
      <c r="AE361" s="73">
        <f t="shared" si="265"/>
        <v>8.6327862671865985E-2</v>
      </c>
      <c r="AF361" s="24">
        <v>6.913127734369473E-2</v>
      </c>
      <c r="AG361" s="73">
        <v>2.7270412297150104E-2</v>
      </c>
      <c r="AH361" s="73">
        <v>1.743861918248113E-2</v>
      </c>
      <c r="AI361" s="73">
        <v>7.0562587591484371E-2</v>
      </c>
      <c r="AJ361" s="73">
        <v>8.1837333962371916E-2</v>
      </c>
      <c r="AK361" s="24">
        <v>4.9721481810294899E-2</v>
      </c>
      <c r="AL361" s="73">
        <v>0.10704225352112684</v>
      </c>
      <c r="AM361" s="73">
        <v>7.1232876712328697E-2</v>
      </c>
      <c r="AN361" s="73">
        <v>1.0389610389610393E-2</v>
      </c>
      <c r="AO361" s="73">
        <v>1.5037593984962516E-2</v>
      </c>
      <c r="AP361" s="24">
        <v>4.9202127659574435E-2</v>
      </c>
      <c r="AQ361" s="73">
        <v>5.0890585241729624E-3</v>
      </c>
      <c r="AR361" s="73">
        <v>-3.5805626598465423E-2</v>
      </c>
      <c r="AS361" s="73">
        <v>-1.2853470437018011E-2</v>
      </c>
      <c r="AT361" s="73">
        <v>-3.2098765432098775E-2</v>
      </c>
      <c r="AU361" s="24">
        <v>-1.9011406844106515E-2</v>
      </c>
      <c r="AV361" s="73">
        <v>-2.7848101265822822E-2</v>
      </c>
      <c r="AW361" s="73">
        <v>7.9575596816976235E-2</v>
      </c>
      <c r="AX361" s="73">
        <v>-4.427083333333337E-2</v>
      </c>
      <c r="AY361" s="73">
        <v>-3.3163265306122458E-2</v>
      </c>
      <c r="AZ361" s="24">
        <v>-7.10594315245483E-3</v>
      </c>
      <c r="BA361" s="73">
        <v>-8.333333333333337E-2</v>
      </c>
      <c r="BB361" s="73">
        <v>-0.1744471744471745</v>
      </c>
      <c r="BC361" s="73">
        <v>-9.2643051771117202E-2</v>
      </c>
      <c r="BD361" s="73">
        <v>-2.3746701846965701E-2</v>
      </c>
      <c r="BE361" s="24">
        <v>-9.4990240728692221E-2</v>
      </c>
    </row>
    <row r="362" spans="1:57" ht="3.75" customHeight="1">
      <c r="A362" s="40"/>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1"/>
      <c r="AL362" s="41"/>
      <c r="AM362" s="41"/>
      <c r="AN362" s="41"/>
      <c r="AO362" s="41"/>
      <c r="AP362" s="41"/>
      <c r="AQ362" s="41"/>
      <c r="AR362" s="41"/>
      <c r="AS362" s="41"/>
      <c r="AT362" s="41"/>
      <c r="AU362" s="41"/>
      <c r="AV362" s="41"/>
      <c r="AW362" s="41"/>
      <c r="AX362" s="41"/>
      <c r="AY362" s="41"/>
      <c r="AZ362" s="41"/>
      <c r="BA362" s="41"/>
      <c r="BB362" s="41"/>
      <c r="BC362" s="41"/>
      <c r="BD362" s="41"/>
      <c r="BE362" s="41"/>
    </row>
    <row r="363" spans="1:57">
      <c r="A363" s="69" t="s">
        <v>141</v>
      </c>
      <c r="B363" s="123" t="s">
        <v>44</v>
      </c>
      <c r="C363" s="80" t="s">
        <v>52</v>
      </c>
      <c r="D363" s="80" t="s">
        <v>52</v>
      </c>
      <c r="E363" s="80" t="s">
        <v>52</v>
      </c>
      <c r="F363" s="80" t="s">
        <v>52</v>
      </c>
      <c r="G363" s="37">
        <v>502</v>
      </c>
      <c r="H363" s="80" t="s">
        <v>52</v>
      </c>
      <c r="I363" s="80" t="s">
        <v>52</v>
      </c>
      <c r="J363" s="80" t="s">
        <v>52</v>
      </c>
      <c r="K363" s="80" t="s">
        <v>52</v>
      </c>
      <c r="L363" s="37">
        <v>502</v>
      </c>
      <c r="M363" s="80" t="s">
        <v>52</v>
      </c>
      <c r="N363" s="80" t="s">
        <v>52</v>
      </c>
      <c r="O363" s="80" t="s">
        <v>52</v>
      </c>
      <c r="P363" s="80" t="s">
        <v>52</v>
      </c>
      <c r="Q363" s="37">
        <v>501</v>
      </c>
      <c r="R363" s="80" t="s">
        <v>52</v>
      </c>
      <c r="S363" s="80" t="s">
        <v>52</v>
      </c>
      <c r="T363" s="80" t="s">
        <v>52</v>
      </c>
      <c r="U363" s="80" t="s">
        <v>52</v>
      </c>
      <c r="V363" s="37">
        <v>413</v>
      </c>
      <c r="W363" s="80" t="s">
        <v>52</v>
      </c>
      <c r="X363" s="80" t="s">
        <v>52</v>
      </c>
      <c r="Y363" s="80" t="s">
        <v>52</v>
      </c>
      <c r="Z363" s="80" t="s">
        <v>52</v>
      </c>
      <c r="AA363" s="37">
        <v>383</v>
      </c>
      <c r="AB363" s="80" t="s">
        <v>52</v>
      </c>
      <c r="AC363" s="80" t="s">
        <v>52</v>
      </c>
      <c r="AD363" s="80" t="s">
        <v>52</v>
      </c>
      <c r="AE363" s="80" t="s">
        <v>52</v>
      </c>
      <c r="AF363" s="37">
        <v>401</v>
      </c>
      <c r="AG363" s="80" t="s">
        <v>52</v>
      </c>
      <c r="AH363" s="80" t="s">
        <v>52</v>
      </c>
      <c r="AI363" s="80" t="s">
        <v>52</v>
      </c>
      <c r="AJ363" s="80" t="s">
        <v>52</v>
      </c>
      <c r="AK363" s="37">
        <v>395</v>
      </c>
      <c r="AL363" s="80" t="s">
        <v>52</v>
      </c>
      <c r="AM363" s="80" t="s">
        <v>52</v>
      </c>
      <c r="AN363" s="80" t="s">
        <v>52</v>
      </c>
      <c r="AO363" s="80" t="s">
        <v>52</v>
      </c>
      <c r="AP363" s="37">
        <v>379</v>
      </c>
      <c r="AQ363" s="80" t="s">
        <v>52</v>
      </c>
      <c r="AR363" s="80" t="s">
        <v>52</v>
      </c>
      <c r="AS363" s="80" t="s">
        <v>52</v>
      </c>
      <c r="AT363" s="80" t="s">
        <v>52</v>
      </c>
      <c r="AU363" s="37">
        <v>325</v>
      </c>
      <c r="AV363" s="80" t="s">
        <v>52</v>
      </c>
      <c r="AW363" s="80" t="s">
        <v>52</v>
      </c>
      <c r="AX363" s="80" t="s">
        <v>52</v>
      </c>
      <c r="AY363" s="80" t="s">
        <v>52</v>
      </c>
      <c r="AZ363" s="37">
        <v>268</v>
      </c>
      <c r="BA363" s="80" t="s">
        <v>52</v>
      </c>
      <c r="BB363" s="80" t="s">
        <v>52</v>
      </c>
      <c r="BC363" s="80" t="s">
        <v>52</v>
      </c>
      <c r="BD363" s="80" t="s">
        <v>52</v>
      </c>
      <c r="BE363" s="37">
        <v>225</v>
      </c>
    </row>
    <row r="364" spans="1:57" ht="9.75" customHeight="1">
      <c r="A364" s="71" t="s">
        <v>139</v>
      </c>
      <c r="B364" s="24"/>
      <c r="C364" s="73"/>
      <c r="D364" s="73"/>
      <c r="E364" s="73"/>
      <c r="F364" s="73"/>
      <c r="G364" s="24">
        <f>G363/G359</f>
        <v>0.38444484097232379</v>
      </c>
      <c r="H364" s="73"/>
      <c r="I364" s="73"/>
      <c r="J364" s="73"/>
      <c r="K364" s="73"/>
      <c r="L364" s="24">
        <f>L363/L359</f>
        <v>0.3809760880586005</v>
      </c>
      <c r="M364" s="73"/>
      <c r="N364" s="73"/>
      <c r="O364" s="73"/>
      <c r="P364" s="73"/>
      <c r="Q364" s="24">
        <f>Q363/Q359</f>
        <v>0.36292013801106726</v>
      </c>
      <c r="R364" s="73"/>
      <c r="S364" s="73"/>
      <c r="T364" s="73"/>
      <c r="U364" s="73"/>
      <c r="V364" s="24">
        <f>V363/V359</f>
        <v>0.30511184232883815</v>
      </c>
      <c r="W364" s="73"/>
      <c r="X364" s="73"/>
      <c r="Y364" s="73"/>
      <c r="Z364" s="73"/>
      <c r="AA364" s="24">
        <f>AA363/AA359</f>
        <v>0.2857959416976279</v>
      </c>
      <c r="AB364" s="73"/>
      <c r="AC364" s="73"/>
      <c r="AD364" s="73"/>
      <c r="AE364" s="73"/>
      <c r="AF364" s="24">
        <v>0.27987919827521829</v>
      </c>
      <c r="AG364" s="73"/>
      <c r="AH364" s="73"/>
      <c r="AI364" s="73"/>
      <c r="AJ364" s="73"/>
      <c r="AK364" s="24">
        <v>0.26263297872340424</v>
      </c>
      <c r="AL364" s="73"/>
      <c r="AM364" s="73"/>
      <c r="AN364" s="73"/>
      <c r="AO364" s="73"/>
      <c r="AP364" s="24">
        <v>0.24017743979721165</v>
      </c>
      <c r="AQ364" s="73"/>
      <c r="AR364" s="73"/>
      <c r="AS364" s="73"/>
      <c r="AT364" s="73"/>
      <c r="AU364" s="24">
        <v>0.2099483204134367</v>
      </c>
      <c r="AV364" s="73"/>
      <c r="AW364" s="73"/>
      <c r="AX364" s="73"/>
      <c r="AY364" s="73"/>
      <c r="AZ364" s="24">
        <v>0.17436564736499674</v>
      </c>
      <c r="BA364" s="73"/>
      <c r="BB364" s="73"/>
      <c r="BC364" s="73"/>
      <c r="BD364" s="73"/>
      <c r="BE364" s="24">
        <v>0.16175413371675054</v>
      </c>
    </row>
    <row r="365" spans="1:57" ht="11.25" customHeight="1">
      <c r="A365" s="69" t="s">
        <v>142</v>
      </c>
      <c r="B365" s="123" t="s">
        <v>44</v>
      </c>
      <c r="C365" s="80" t="s">
        <v>52</v>
      </c>
      <c r="D365" s="80" t="s">
        <v>52</v>
      </c>
      <c r="E365" s="80" t="s">
        <v>52</v>
      </c>
      <c r="F365" s="80" t="s">
        <v>52</v>
      </c>
      <c r="G365" s="37">
        <v>804</v>
      </c>
      <c r="H365" s="80" t="s">
        <v>52</v>
      </c>
      <c r="I365" s="80" t="s">
        <v>52</v>
      </c>
      <c r="J365" s="80" t="s">
        <v>52</v>
      </c>
      <c r="K365" s="80" t="s">
        <v>52</v>
      </c>
      <c r="L365" s="37">
        <v>816</v>
      </c>
      <c r="M365" s="80" t="s">
        <v>52</v>
      </c>
      <c r="N365" s="80" t="s">
        <v>52</v>
      </c>
      <c r="O365" s="80" t="s">
        <v>52</v>
      </c>
      <c r="P365" s="80" t="s">
        <v>52</v>
      </c>
      <c r="Q365" s="37">
        <v>879</v>
      </c>
      <c r="R365" s="80" t="s">
        <v>52</v>
      </c>
      <c r="S365" s="80" t="s">
        <v>52</v>
      </c>
      <c r="T365" s="80" t="s">
        <v>52</v>
      </c>
      <c r="U365" s="80" t="s">
        <v>52</v>
      </c>
      <c r="V365" s="37">
        <v>941</v>
      </c>
      <c r="W365" s="80" t="s">
        <v>52</v>
      </c>
      <c r="X365" s="80" t="s">
        <v>52</v>
      </c>
      <c r="Y365" s="80" t="s">
        <v>52</v>
      </c>
      <c r="Z365" s="80" t="s">
        <v>52</v>
      </c>
      <c r="AA365" s="37">
        <v>957</v>
      </c>
      <c r="AB365" s="80" t="s">
        <v>52</v>
      </c>
      <c r="AC365" s="80" t="s">
        <v>52</v>
      </c>
      <c r="AD365" s="80" t="s">
        <v>52</v>
      </c>
      <c r="AE365" s="80" t="s">
        <v>52</v>
      </c>
      <c r="AF365" s="37">
        <v>1032</v>
      </c>
      <c r="AG365" s="80" t="s">
        <v>52</v>
      </c>
      <c r="AH365" s="80" t="s">
        <v>52</v>
      </c>
      <c r="AI365" s="80" t="s">
        <v>52</v>
      </c>
      <c r="AJ365" s="80" t="s">
        <v>52</v>
      </c>
      <c r="AK365" s="37">
        <v>1109</v>
      </c>
      <c r="AL365" s="80" t="s">
        <v>52</v>
      </c>
      <c r="AM365" s="80" t="s">
        <v>52</v>
      </c>
      <c r="AN365" s="80" t="s">
        <v>52</v>
      </c>
      <c r="AO365" s="80" t="s">
        <v>52</v>
      </c>
      <c r="AP365" s="37">
        <v>1199</v>
      </c>
      <c r="AQ365" s="80" t="s">
        <v>52</v>
      </c>
      <c r="AR365" s="80" t="s">
        <v>52</v>
      </c>
      <c r="AS365" s="80" t="s">
        <v>52</v>
      </c>
      <c r="AT365" s="80" t="s">
        <v>52</v>
      </c>
      <c r="AU365" s="37">
        <v>1223</v>
      </c>
      <c r="AV365" s="80" t="s">
        <v>52</v>
      </c>
      <c r="AW365" s="80" t="s">
        <v>52</v>
      </c>
      <c r="AX365" s="80" t="s">
        <v>52</v>
      </c>
      <c r="AY365" s="80" t="s">
        <v>52</v>
      </c>
      <c r="AZ365" s="37">
        <v>1269</v>
      </c>
      <c r="BA365" s="80" t="s">
        <v>52</v>
      </c>
      <c r="BB365" s="80" t="s">
        <v>52</v>
      </c>
      <c r="BC365" s="80" t="s">
        <v>52</v>
      </c>
      <c r="BD365" s="80" t="s">
        <v>52</v>
      </c>
      <c r="BE365" s="37">
        <v>1166</v>
      </c>
    </row>
    <row r="366" spans="1:57" ht="10.5" customHeight="1">
      <c r="A366" s="71" t="s">
        <v>139</v>
      </c>
      <c r="B366" s="24"/>
      <c r="C366" s="73"/>
      <c r="D366" s="73"/>
      <c r="E366" s="73"/>
      <c r="F366" s="73"/>
      <c r="G366" s="24">
        <f>G365/G359</f>
        <v>0.61572440665686923</v>
      </c>
      <c r="H366" s="73"/>
      <c r="I366" s="73"/>
      <c r="J366" s="73"/>
      <c r="K366" s="73"/>
      <c r="L366" s="24">
        <f>L365/L359</f>
        <v>0.61927587222274505</v>
      </c>
      <c r="M366" s="73"/>
      <c r="N366" s="73"/>
      <c r="O366" s="73"/>
      <c r="P366" s="73"/>
      <c r="Q366" s="24">
        <f>Q365/Q359</f>
        <v>0.63674012237869881</v>
      </c>
      <c r="R366" s="73"/>
      <c r="S366" s="73"/>
      <c r="T366" s="73"/>
      <c r="U366" s="73"/>
      <c r="V366" s="24">
        <f>V365/V359</f>
        <v>0.69518218796958042</v>
      </c>
      <c r="W366" s="73"/>
      <c r="X366" s="73"/>
      <c r="Y366" s="73"/>
      <c r="Z366" s="73"/>
      <c r="AA366" s="24">
        <f>AA365/AA359</f>
        <v>0.71411675249250628</v>
      </c>
      <c r="AB366" s="73"/>
      <c r="AC366" s="73"/>
      <c r="AD366" s="73"/>
      <c r="AE366" s="73"/>
      <c r="AF366" s="24">
        <v>0.72028761251876627</v>
      </c>
      <c r="AG366" s="73"/>
      <c r="AH366" s="73"/>
      <c r="AI366" s="73"/>
      <c r="AJ366" s="73"/>
      <c r="AK366" s="24">
        <v>0.7373670212765957</v>
      </c>
      <c r="AL366" s="73"/>
      <c r="AM366" s="73"/>
      <c r="AN366" s="73"/>
      <c r="AO366" s="73"/>
      <c r="AP366" s="24">
        <v>0.75982256020278838</v>
      </c>
      <c r="AQ366" s="73"/>
      <c r="AR366" s="73"/>
      <c r="AS366" s="73"/>
      <c r="AT366" s="73"/>
      <c r="AU366" s="24">
        <v>0.7900516795865633</v>
      </c>
      <c r="AV366" s="73"/>
      <c r="AW366" s="73"/>
      <c r="AX366" s="73"/>
      <c r="AY366" s="73"/>
      <c r="AZ366" s="24">
        <v>0.82563435263500329</v>
      </c>
      <c r="BA366" s="73"/>
      <c r="BB366" s="73"/>
      <c r="BC366" s="73"/>
      <c r="BD366" s="73"/>
      <c r="BE366" s="24">
        <v>0.83824586628324949</v>
      </c>
    </row>
    <row r="367" spans="1:57" ht="3.75" customHeight="1">
      <c r="A367" s="40"/>
      <c r="B367" s="41"/>
      <c r="C367" s="42"/>
      <c r="D367" s="42"/>
      <c r="E367" s="42"/>
      <c r="F367" s="42"/>
      <c r="G367" s="41"/>
      <c r="H367" s="42"/>
      <c r="I367" s="42"/>
      <c r="J367" s="42"/>
      <c r="K367" s="42"/>
      <c r="L367" s="41"/>
      <c r="M367" s="42"/>
      <c r="N367" s="42"/>
      <c r="O367" s="42"/>
      <c r="P367" s="42"/>
      <c r="Q367" s="41"/>
      <c r="R367" s="42"/>
      <c r="S367" s="42"/>
      <c r="T367" s="42"/>
      <c r="U367" s="42"/>
      <c r="V367" s="41"/>
      <c r="W367" s="42"/>
      <c r="X367" s="42"/>
      <c r="Y367" s="42"/>
      <c r="Z367" s="42"/>
      <c r="AA367" s="41"/>
      <c r="AB367" s="42"/>
      <c r="AC367" s="42"/>
      <c r="AD367" s="42"/>
      <c r="AE367" s="42"/>
      <c r="AF367" s="41"/>
      <c r="AG367" s="42"/>
      <c r="AH367" s="42"/>
      <c r="AI367" s="42"/>
      <c r="AJ367" s="42"/>
      <c r="AK367" s="41"/>
      <c r="AL367" s="42"/>
      <c r="AM367" s="42"/>
      <c r="AN367" s="42"/>
      <c r="AO367" s="42"/>
      <c r="AP367" s="41"/>
      <c r="AQ367" s="42"/>
      <c r="AR367" s="42"/>
      <c r="AS367" s="42"/>
      <c r="AT367" s="42"/>
      <c r="AU367" s="41"/>
      <c r="AV367" s="42"/>
      <c r="AW367" s="42"/>
      <c r="AX367" s="42"/>
      <c r="AY367" s="42"/>
      <c r="AZ367" s="41"/>
      <c r="BA367" s="42"/>
      <c r="BB367" s="42"/>
      <c r="BC367" s="42"/>
      <c r="BD367" s="42"/>
      <c r="BE367" s="41"/>
    </row>
    <row r="368" spans="1:57">
      <c r="A368" s="69" t="s">
        <v>140</v>
      </c>
      <c r="B368" s="123" t="s">
        <v>44</v>
      </c>
      <c r="C368" s="80" t="s">
        <v>52</v>
      </c>
      <c r="D368" s="80" t="s">
        <v>52</v>
      </c>
      <c r="E368" s="80" t="s">
        <v>52</v>
      </c>
      <c r="F368" s="80" t="s">
        <v>52</v>
      </c>
      <c r="G368" s="37">
        <v>513</v>
      </c>
      <c r="H368" s="80" t="s">
        <v>52</v>
      </c>
      <c r="I368" s="80" t="s">
        <v>52</v>
      </c>
      <c r="J368" s="80" t="s">
        <v>52</v>
      </c>
      <c r="K368" s="80" t="s">
        <v>52</v>
      </c>
      <c r="L368" s="37">
        <v>520</v>
      </c>
      <c r="M368" s="80" t="s">
        <v>52</v>
      </c>
      <c r="N368" s="80" t="s">
        <v>52</v>
      </c>
      <c r="O368" s="80" t="s">
        <v>52</v>
      </c>
      <c r="P368" s="80" t="s">
        <v>52</v>
      </c>
      <c r="Q368" s="37">
        <v>523</v>
      </c>
      <c r="R368" s="80" t="s">
        <v>52</v>
      </c>
      <c r="S368" s="80" t="s">
        <v>52</v>
      </c>
      <c r="T368" s="80" t="s">
        <v>52</v>
      </c>
      <c r="U368" s="80" t="s">
        <v>52</v>
      </c>
      <c r="V368" s="37">
        <v>528</v>
      </c>
      <c r="W368" s="80" t="s">
        <v>52</v>
      </c>
      <c r="X368" s="80" t="s">
        <v>52</v>
      </c>
      <c r="Y368" s="80" t="s">
        <v>52</v>
      </c>
      <c r="Z368" s="80" t="s">
        <v>52</v>
      </c>
      <c r="AA368" s="37">
        <v>538</v>
      </c>
      <c r="AB368" s="80" t="s">
        <v>52</v>
      </c>
      <c r="AC368" s="80" t="s">
        <v>52</v>
      </c>
      <c r="AD368" s="80" t="s">
        <v>52</v>
      </c>
      <c r="AE368" s="80" t="s">
        <v>52</v>
      </c>
      <c r="AF368" s="37">
        <v>535</v>
      </c>
      <c r="AG368" s="80" t="s">
        <v>52</v>
      </c>
      <c r="AH368" s="80" t="s">
        <v>52</v>
      </c>
      <c r="AI368" s="80" t="s">
        <v>52</v>
      </c>
      <c r="AJ368" s="80" t="s">
        <v>52</v>
      </c>
      <c r="AK368" s="37">
        <v>529</v>
      </c>
      <c r="AL368" s="80" t="s">
        <v>52</v>
      </c>
      <c r="AM368" s="80" t="s">
        <v>52</v>
      </c>
      <c r="AN368" s="80" t="s">
        <v>52</v>
      </c>
      <c r="AO368" s="80" t="s">
        <v>52</v>
      </c>
      <c r="AP368" s="37">
        <v>555</v>
      </c>
      <c r="AQ368" s="80" t="s">
        <v>52</v>
      </c>
      <c r="AR368" s="80" t="s">
        <v>52</v>
      </c>
      <c r="AS368" s="80" t="s">
        <v>52</v>
      </c>
      <c r="AT368" s="80" t="s">
        <v>52</v>
      </c>
      <c r="AU368" s="37">
        <v>570</v>
      </c>
      <c r="AV368" s="80" t="s">
        <v>52</v>
      </c>
      <c r="AW368" s="80" t="s">
        <v>52</v>
      </c>
      <c r="AX368" s="80" t="s">
        <v>52</v>
      </c>
      <c r="AY368" s="80" t="s">
        <v>52</v>
      </c>
      <c r="AZ368" s="37">
        <v>563</v>
      </c>
      <c r="BA368" s="80" t="s">
        <v>52</v>
      </c>
      <c r="BB368" s="80" t="s">
        <v>52</v>
      </c>
      <c r="BC368" s="80" t="s">
        <v>52</v>
      </c>
      <c r="BD368" s="80" t="s">
        <v>52</v>
      </c>
      <c r="BE368" s="37">
        <v>542</v>
      </c>
    </row>
    <row r="369" spans="1:57" ht="9.75" customHeight="1">
      <c r="A369" s="71" t="s">
        <v>139</v>
      </c>
      <c r="B369" s="24"/>
      <c r="C369" s="73"/>
      <c r="D369" s="73"/>
      <c r="E369" s="73"/>
      <c r="F369" s="73"/>
      <c r="G369" s="24">
        <f>G368/G359</f>
        <v>0.39286893111315163</v>
      </c>
      <c r="H369" s="73"/>
      <c r="I369" s="73"/>
      <c r="J369" s="73"/>
      <c r="K369" s="73"/>
      <c r="L369" s="24">
        <f>L368/L359</f>
        <v>0.39463658523998463</v>
      </c>
      <c r="M369" s="73"/>
      <c r="N369" s="73"/>
      <c r="O369" s="73"/>
      <c r="P369" s="73"/>
      <c r="Q369" s="24">
        <f>Q368/Q359</f>
        <v>0.37885675085786064</v>
      </c>
      <c r="R369" s="73"/>
      <c r="S369" s="73"/>
      <c r="T369" s="73"/>
      <c r="U369" s="73"/>
      <c r="V369" s="24">
        <f>V368/V359</f>
        <v>0.39007034564074222</v>
      </c>
      <c r="W369" s="73"/>
      <c r="X369" s="73"/>
      <c r="Y369" s="73"/>
      <c r="Z369" s="73"/>
      <c r="AA369" s="24">
        <f>AA368/AA359</f>
        <v>0.40145748468230757</v>
      </c>
      <c r="AB369" s="73"/>
      <c r="AC369" s="73"/>
      <c r="AD369" s="73"/>
      <c r="AE369" s="73"/>
      <c r="AF369" s="24">
        <v>0.37340491540459297</v>
      </c>
      <c r="AG369" s="73"/>
      <c r="AH369" s="73"/>
      <c r="AI369" s="73"/>
      <c r="AJ369" s="73"/>
      <c r="AK369" s="24">
        <v>0.35172872340425532</v>
      </c>
      <c r="AL369" s="73"/>
      <c r="AM369" s="73"/>
      <c r="AN369" s="73"/>
      <c r="AO369" s="73"/>
      <c r="AP369" s="24">
        <v>0.35171102661596959</v>
      </c>
      <c r="AQ369" s="73"/>
      <c r="AR369" s="73"/>
      <c r="AS369" s="73"/>
      <c r="AT369" s="73"/>
      <c r="AU369" s="24">
        <v>0.36821705426356588</v>
      </c>
      <c r="AV369" s="73"/>
      <c r="AW369" s="73"/>
      <c r="AX369" s="73"/>
      <c r="AY369" s="73"/>
      <c r="AZ369" s="24">
        <v>0.36629798308392975</v>
      </c>
      <c r="BA369" s="73"/>
      <c r="BB369" s="73"/>
      <c r="BC369" s="73"/>
      <c r="BD369" s="73"/>
      <c r="BE369" s="24">
        <v>0.38964773544212794</v>
      </c>
    </row>
    <row r="370" spans="1:57" ht="12" customHeight="1">
      <c r="A370" s="69" t="s">
        <v>138</v>
      </c>
      <c r="B370" s="123" t="s">
        <v>44</v>
      </c>
      <c r="C370" s="80" t="s">
        <v>52</v>
      </c>
      <c r="D370" s="80" t="s">
        <v>52</v>
      </c>
      <c r="E370" s="80" t="s">
        <v>52</v>
      </c>
      <c r="F370" s="80" t="s">
        <v>52</v>
      </c>
      <c r="G370" s="37">
        <v>793</v>
      </c>
      <c r="H370" s="80" t="s">
        <v>52</v>
      </c>
      <c r="I370" s="80" t="s">
        <v>52</v>
      </c>
      <c r="J370" s="80" t="s">
        <v>52</v>
      </c>
      <c r="K370" s="80" t="s">
        <v>52</v>
      </c>
      <c r="L370" s="37">
        <v>798</v>
      </c>
      <c r="M370" s="80" t="s">
        <v>52</v>
      </c>
      <c r="N370" s="80" t="s">
        <v>52</v>
      </c>
      <c r="O370" s="80" t="s">
        <v>52</v>
      </c>
      <c r="P370" s="80" t="s">
        <v>52</v>
      </c>
      <c r="Q370" s="37">
        <v>857</v>
      </c>
      <c r="R370" s="80" t="s">
        <v>52</v>
      </c>
      <c r="S370" s="80" t="s">
        <v>52</v>
      </c>
      <c r="T370" s="80" t="s">
        <v>52</v>
      </c>
      <c r="U370" s="80" t="s">
        <v>52</v>
      </c>
      <c r="V370" s="37">
        <v>826</v>
      </c>
      <c r="W370" s="80" t="s">
        <v>52</v>
      </c>
      <c r="X370" s="80" t="s">
        <v>52</v>
      </c>
      <c r="Y370" s="80" t="s">
        <v>52</v>
      </c>
      <c r="Z370" s="80" t="s">
        <v>52</v>
      </c>
      <c r="AA370" s="37">
        <v>802</v>
      </c>
      <c r="AB370" s="80" t="s">
        <v>52</v>
      </c>
      <c r="AC370" s="80" t="s">
        <v>52</v>
      </c>
      <c r="AD370" s="80" t="s">
        <v>52</v>
      </c>
      <c r="AE370" s="80" t="s">
        <v>52</v>
      </c>
      <c r="AF370" s="37">
        <v>898</v>
      </c>
      <c r="AG370" s="80" t="s">
        <v>52</v>
      </c>
      <c r="AH370" s="80" t="s">
        <v>52</v>
      </c>
      <c r="AI370" s="80" t="s">
        <v>52</v>
      </c>
      <c r="AJ370" s="80" t="s">
        <v>52</v>
      </c>
      <c r="AK370" s="37">
        <v>975</v>
      </c>
      <c r="AL370" s="80" t="s">
        <v>52</v>
      </c>
      <c r="AM370" s="80" t="s">
        <v>52</v>
      </c>
      <c r="AN370" s="80" t="s">
        <v>52</v>
      </c>
      <c r="AO370" s="80" t="s">
        <v>52</v>
      </c>
      <c r="AP370" s="37">
        <v>1023</v>
      </c>
      <c r="AQ370" s="80" t="s">
        <v>52</v>
      </c>
      <c r="AR370" s="80" t="s">
        <v>52</v>
      </c>
      <c r="AS370" s="80" t="s">
        <v>52</v>
      </c>
      <c r="AT370" s="80" t="s">
        <v>52</v>
      </c>
      <c r="AU370" s="37">
        <v>978</v>
      </c>
      <c r="AV370" s="80" t="s">
        <v>52</v>
      </c>
      <c r="AW370" s="80" t="s">
        <v>52</v>
      </c>
      <c r="AX370" s="80" t="s">
        <v>52</v>
      </c>
      <c r="AY370" s="80" t="s">
        <v>52</v>
      </c>
      <c r="AZ370" s="37">
        <v>974</v>
      </c>
      <c r="BA370" s="80" t="s">
        <v>52</v>
      </c>
      <c r="BB370" s="80" t="s">
        <v>52</v>
      </c>
      <c r="BC370" s="80" t="s">
        <v>52</v>
      </c>
      <c r="BD370" s="80" t="s">
        <v>52</v>
      </c>
      <c r="BE370" s="37">
        <v>849</v>
      </c>
    </row>
    <row r="371" spans="1:57" ht="9.75" customHeight="1">
      <c r="A371" s="71" t="s">
        <v>139</v>
      </c>
      <c r="B371" s="24"/>
      <c r="C371" s="73"/>
      <c r="D371" s="73"/>
      <c r="E371" s="73"/>
      <c r="F371" s="73"/>
      <c r="G371" s="24">
        <f>G370/G359</f>
        <v>0.60730031651604144</v>
      </c>
      <c r="H371" s="73"/>
      <c r="I371" s="73"/>
      <c r="J371" s="73"/>
      <c r="K371" s="73"/>
      <c r="L371" s="24">
        <f>L370/L359</f>
        <v>0.60561537504136098</v>
      </c>
      <c r="M371" s="73"/>
      <c r="N371" s="73"/>
      <c r="O371" s="73"/>
      <c r="P371" s="73"/>
      <c r="Q371" s="24">
        <f>Q370/Q359</f>
        <v>0.62080350953190544</v>
      </c>
      <c r="R371" s="73"/>
      <c r="S371" s="73"/>
      <c r="T371" s="73"/>
      <c r="U371" s="73"/>
      <c r="V371" s="24">
        <f>V370/V359</f>
        <v>0.61022368465767629</v>
      </c>
      <c r="W371" s="73"/>
      <c r="X371" s="73"/>
      <c r="Y371" s="73"/>
      <c r="Z371" s="73"/>
      <c r="AA371" s="24">
        <f>AA370/AA359</f>
        <v>0.5984552095078266</v>
      </c>
      <c r="AB371" s="73"/>
      <c r="AC371" s="73"/>
      <c r="AD371" s="73"/>
      <c r="AE371" s="73"/>
      <c r="AF371" s="24">
        <v>0.62676189538939153</v>
      </c>
      <c r="AG371" s="73"/>
      <c r="AH371" s="73"/>
      <c r="AI371" s="73"/>
      <c r="AJ371" s="73"/>
      <c r="AK371" s="24">
        <v>0.64827127659574468</v>
      </c>
      <c r="AL371" s="73"/>
      <c r="AM371" s="73"/>
      <c r="AN371" s="73"/>
      <c r="AO371" s="73"/>
      <c r="AP371" s="24">
        <v>0.64828897338403046</v>
      </c>
      <c r="AQ371" s="73"/>
      <c r="AR371" s="73"/>
      <c r="AS371" s="73"/>
      <c r="AT371" s="73"/>
      <c r="AU371" s="24">
        <v>0.63178294573643412</v>
      </c>
      <c r="AV371" s="73"/>
      <c r="AW371" s="73"/>
      <c r="AX371" s="73"/>
      <c r="AY371" s="73"/>
      <c r="AZ371" s="24">
        <v>0.63370201691607031</v>
      </c>
      <c r="BA371" s="73"/>
      <c r="BB371" s="73"/>
      <c r="BC371" s="73"/>
      <c r="BD371" s="73"/>
      <c r="BE371" s="24">
        <v>0.61035226455787206</v>
      </c>
    </row>
    <row r="372" spans="1:57" ht="14.25" customHeight="1">
      <c r="A372" s="40" t="s">
        <v>29</v>
      </c>
      <c r="B372" s="41"/>
      <c r="C372" s="42"/>
      <c r="D372" s="42"/>
      <c r="E372" s="42"/>
      <c r="F372" s="42"/>
      <c r="G372" s="41"/>
      <c r="H372" s="42"/>
      <c r="I372" s="42"/>
      <c r="J372" s="42"/>
      <c r="K372" s="42"/>
      <c r="L372" s="41"/>
      <c r="M372" s="42"/>
      <c r="N372" s="42"/>
      <c r="O372" s="42"/>
      <c r="P372" s="42"/>
      <c r="Q372" s="41"/>
      <c r="R372" s="42"/>
      <c r="S372" s="42"/>
      <c r="T372" s="42"/>
      <c r="U372" s="42"/>
      <c r="V372" s="41"/>
      <c r="W372" s="42"/>
      <c r="X372" s="42"/>
      <c r="Y372" s="42"/>
      <c r="Z372" s="42"/>
      <c r="AA372" s="41"/>
      <c r="AB372" s="42"/>
      <c r="AC372" s="42"/>
      <c r="AD372" s="42"/>
      <c r="AE372" s="42"/>
      <c r="AF372" s="41"/>
      <c r="AG372" s="42"/>
      <c r="AH372" s="42"/>
      <c r="AI372" s="42"/>
      <c r="AJ372" s="42"/>
      <c r="AK372" s="41"/>
      <c r="AL372" s="42"/>
      <c r="AM372" s="42"/>
      <c r="AN372" s="42"/>
      <c r="AO372" s="42"/>
      <c r="AP372" s="41"/>
      <c r="AQ372" s="42"/>
      <c r="AR372" s="42"/>
      <c r="AS372" s="42"/>
      <c r="AT372" s="42"/>
      <c r="AU372" s="41"/>
      <c r="AV372" s="42"/>
      <c r="AW372" s="42"/>
      <c r="AX372" s="42"/>
      <c r="AY372" s="42"/>
      <c r="AZ372" s="41"/>
      <c r="BA372" s="42"/>
      <c r="BB372" s="42"/>
      <c r="BC372" s="42"/>
      <c r="BD372" s="42"/>
      <c r="BE372" s="41"/>
    </row>
    <row r="373" spans="1:57" hidden="1">
      <c r="A373" s="69" t="s">
        <v>83</v>
      </c>
      <c r="B373" s="37">
        <v>859</v>
      </c>
      <c r="C373" s="80" t="s">
        <v>52</v>
      </c>
      <c r="D373" s="80" t="s">
        <v>52</v>
      </c>
      <c r="E373" s="80" t="s">
        <v>52</v>
      </c>
      <c r="F373" s="80" t="s">
        <v>52</v>
      </c>
      <c r="G373" s="37">
        <v>780</v>
      </c>
      <c r="H373" s="70">
        <v>199</v>
      </c>
      <c r="I373" s="70">
        <v>190</v>
      </c>
      <c r="J373" s="70">
        <v>195</v>
      </c>
      <c r="K373" s="70">
        <f>L373-J373-I373-H373</f>
        <v>193</v>
      </c>
      <c r="L373" s="37">
        <v>777</v>
      </c>
      <c r="M373" s="70">
        <v>210</v>
      </c>
      <c r="N373" s="70">
        <v>201</v>
      </c>
      <c r="O373" s="70">
        <v>208</v>
      </c>
      <c r="P373" s="70">
        <f>Q373-O373-N373-M373</f>
        <v>203</v>
      </c>
      <c r="Q373" s="37">
        <v>822</v>
      </c>
      <c r="R373" s="70">
        <v>193</v>
      </c>
      <c r="S373" s="70">
        <v>194</v>
      </c>
      <c r="T373" s="70">
        <v>209</v>
      </c>
      <c r="U373" s="70">
        <f>V373-T373-S373-R373</f>
        <v>191.93899999999996</v>
      </c>
      <c r="V373" s="37">
        <v>787.93899999999996</v>
      </c>
      <c r="W373" s="70">
        <v>201.40600000000001</v>
      </c>
      <c r="X373" s="70">
        <v>194.303</v>
      </c>
      <c r="Y373" s="70">
        <v>199.44499999999999</v>
      </c>
      <c r="Z373" s="70">
        <f>AA373-Y373-X373-W373</f>
        <v>200.54800000000006</v>
      </c>
      <c r="AA373" s="37">
        <v>795.702</v>
      </c>
      <c r="AB373" s="70">
        <v>207.92500000000001</v>
      </c>
      <c r="AC373" s="70">
        <v>218.495</v>
      </c>
      <c r="AD373" s="70">
        <v>222.10499999999999</v>
      </c>
      <c r="AE373" s="70">
        <f>AF373-AD373-AC373-AB373</f>
        <v>230.26899999999995</v>
      </c>
      <c r="AF373" s="37">
        <v>878.79399999999998</v>
      </c>
      <c r="AG373" s="70">
        <v>218</v>
      </c>
      <c r="AH373" s="70">
        <v>228</v>
      </c>
      <c r="AI373" s="70">
        <v>246</v>
      </c>
      <c r="AJ373" s="70">
        <v>259</v>
      </c>
      <c r="AK373" s="37">
        <v>951</v>
      </c>
      <c r="AL373" s="70">
        <v>251</v>
      </c>
      <c r="AM373" s="70">
        <v>250</v>
      </c>
      <c r="AN373" s="70">
        <v>251</v>
      </c>
      <c r="AO373" s="70">
        <v>263</v>
      </c>
      <c r="AP373" s="37">
        <v>1015</v>
      </c>
      <c r="AQ373" s="70">
        <v>258</v>
      </c>
      <c r="AR373" s="70">
        <v>246</v>
      </c>
      <c r="AS373" s="70">
        <v>256</v>
      </c>
      <c r="AT373" s="70">
        <v>255</v>
      </c>
      <c r="AU373" s="37">
        <v>1015</v>
      </c>
      <c r="AV373" s="70">
        <v>258</v>
      </c>
      <c r="AW373" s="70">
        <v>288</v>
      </c>
      <c r="AX373" s="70">
        <v>253</v>
      </c>
      <c r="AY373" s="70">
        <v>259</v>
      </c>
      <c r="AZ373" s="37">
        <v>1058</v>
      </c>
      <c r="BA373" s="70">
        <v>238</v>
      </c>
      <c r="BB373" s="70">
        <v>225</v>
      </c>
      <c r="BC373" s="70">
        <v>222</v>
      </c>
      <c r="BD373" s="70"/>
      <c r="BE373" s="37"/>
    </row>
    <row r="374" spans="1:57" hidden="1">
      <c r="A374" s="71" t="s">
        <v>7</v>
      </c>
      <c r="B374" s="24"/>
      <c r="C374" s="72"/>
      <c r="D374" s="72"/>
      <c r="E374" s="72"/>
      <c r="F374" s="72"/>
      <c r="G374" s="24"/>
      <c r="H374" s="72"/>
      <c r="I374" s="72">
        <f>I373/H373-1</f>
        <v>-4.5226130653266305E-2</v>
      </c>
      <c r="J374" s="72">
        <f>J373/I373-1</f>
        <v>2.6315789473684292E-2</v>
      </c>
      <c r="K374" s="72">
        <f>K373/J373-1</f>
        <v>-1.025641025641022E-2</v>
      </c>
      <c r="L374" s="24"/>
      <c r="M374" s="72">
        <f>M373/K373-1</f>
        <v>8.8082901554404236E-2</v>
      </c>
      <c r="N374" s="72">
        <f>N373/M373-1</f>
        <v>-4.2857142857142816E-2</v>
      </c>
      <c r="O374" s="72">
        <f>O373/N373-1</f>
        <v>3.4825870646766122E-2</v>
      </c>
      <c r="P374" s="72">
        <f>P373/O373-1</f>
        <v>-2.4038461538461564E-2</v>
      </c>
      <c r="Q374" s="24"/>
      <c r="R374" s="72">
        <f>R373/P373-1</f>
        <v>-4.9261083743842415E-2</v>
      </c>
      <c r="S374" s="72">
        <f>S373/R373-1</f>
        <v>5.1813471502590858E-3</v>
      </c>
      <c r="T374" s="72">
        <f>T373/S373-1</f>
        <v>7.7319587628865927E-2</v>
      </c>
      <c r="U374" s="72">
        <f>U373/T373-1</f>
        <v>-8.163157894736861E-2</v>
      </c>
      <c r="V374" s="24"/>
      <c r="W374" s="72">
        <f>W373/U373-1</f>
        <v>4.9322961982713576E-2</v>
      </c>
      <c r="X374" s="72">
        <f>X373/W373-1</f>
        <v>-3.5267072480462347E-2</v>
      </c>
      <c r="Y374" s="72">
        <f>Y373/X373-1</f>
        <v>2.6463821968780721E-2</v>
      </c>
      <c r="Z374" s="72">
        <f>Z373/Y373-1</f>
        <v>5.5303467121263772E-3</v>
      </c>
      <c r="AA374" s="24"/>
      <c r="AB374" s="72">
        <f>AB373/Z373-1</f>
        <v>3.6784211261144284E-2</v>
      </c>
      <c r="AC374" s="72">
        <f>AC373/AB373-1</f>
        <v>5.083563785018641E-2</v>
      </c>
      <c r="AD374" s="72">
        <f>AD373/AC373-1</f>
        <v>1.6522117210920007E-2</v>
      </c>
      <c r="AE374" s="72">
        <f>AE373/AD373-1</f>
        <v>3.6757389522973138E-2</v>
      </c>
      <c r="AF374" s="24"/>
      <c r="AG374" s="72">
        <v>-5.3281162466506382E-2</v>
      </c>
      <c r="AH374" s="72">
        <v>4.587155963302747E-2</v>
      </c>
      <c r="AI374" s="72">
        <v>7.8947368421052655E-2</v>
      </c>
      <c r="AJ374" s="72">
        <v>5.2845528455284452E-2</v>
      </c>
      <c r="AK374" s="24"/>
      <c r="AL374" s="72">
        <v>-3.0888030888030937E-2</v>
      </c>
      <c r="AM374" s="72">
        <v>-3.9840637450199168E-3</v>
      </c>
      <c r="AN374" s="72">
        <v>4.0000000000000036E-3</v>
      </c>
      <c r="AO374" s="72">
        <v>4.7808764940239001E-2</v>
      </c>
      <c r="AP374" s="24"/>
      <c r="AQ374" s="72">
        <v>-1.9011406844106515E-2</v>
      </c>
      <c r="AR374" s="72">
        <v>-4.6511627906976716E-2</v>
      </c>
      <c r="AS374" s="72">
        <v>4.0650406504065151E-2</v>
      </c>
      <c r="AT374" s="72">
        <v>-3.90625E-3</v>
      </c>
      <c r="AU374" s="24"/>
      <c r="AV374" s="72">
        <v>1.1764705882352899E-2</v>
      </c>
      <c r="AW374" s="72">
        <v>0.11627906976744184</v>
      </c>
      <c r="AX374" s="72">
        <v>-0.12152777777777779</v>
      </c>
      <c r="AY374" s="72">
        <v>2.3715415019762931E-2</v>
      </c>
      <c r="AZ374" s="24"/>
      <c r="BA374" s="72">
        <v>-8.108108108108103E-2</v>
      </c>
      <c r="BB374" s="72">
        <v>-5.4621848739495826E-2</v>
      </c>
      <c r="BC374" s="72">
        <v>-1.3333333333333308E-2</v>
      </c>
      <c r="BD374" s="72"/>
      <c r="BE374" s="24"/>
    </row>
    <row r="375" spans="1:57" hidden="1">
      <c r="A375" s="71" t="s">
        <v>8</v>
      </c>
      <c r="B375" s="24"/>
      <c r="C375" s="73"/>
      <c r="D375" s="73"/>
      <c r="E375" s="73"/>
      <c r="F375" s="73"/>
      <c r="G375" s="24">
        <f>G373/B373-1</f>
        <v>-9.1967403958090777E-2</v>
      </c>
      <c r="H375" s="73"/>
      <c r="I375" s="73"/>
      <c r="J375" s="73"/>
      <c r="K375" s="73"/>
      <c r="L375" s="24">
        <f t="shared" ref="L375:AD375" si="266">L373/G373-1</f>
        <v>-3.8461538461538325E-3</v>
      </c>
      <c r="M375" s="73">
        <f t="shared" si="266"/>
        <v>5.5276381909547645E-2</v>
      </c>
      <c r="N375" s="73">
        <f t="shared" si="266"/>
        <v>5.7894736842105221E-2</v>
      </c>
      <c r="O375" s="73">
        <f t="shared" si="266"/>
        <v>6.6666666666666652E-2</v>
      </c>
      <c r="P375" s="73">
        <f t="shared" si="266"/>
        <v>5.1813471502590636E-2</v>
      </c>
      <c r="Q375" s="24">
        <f t="shared" si="266"/>
        <v>5.7915057915058021E-2</v>
      </c>
      <c r="R375" s="73">
        <f t="shared" si="266"/>
        <v>-8.0952380952380998E-2</v>
      </c>
      <c r="S375" s="73">
        <f t="shared" si="266"/>
        <v>-3.4825870646766122E-2</v>
      </c>
      <c r="T375" s="73">
        <f t="shared" si="266"/>
        <v>4.8076923076922906E-3</v>
      </c>
      <c r="U375" s="73">
        <f t="shared" si="266"/>
        <v>-5.4487684729064179E-2</v>
      </c>
      <c r="V375" s="24">
        <f t="shared" si="266"/>
        <v>-4.143673965936745E-2</v>
      </c>
      <c r="W375" s="73">
        <f t="shared" si="266"/>
        <v>4.3554404145077719E-2</v>
      </c>
      <c r="X375" s="73">
        <f t="shared" si="266"/>
        <v>1.5618556701031405E-3</v>
      </c>
      <c r="Y375" s="73">
        <f t="shared" si="266"/>
        <v>-4.5717703349282379E-2</v>
      </c>
      <c r="Z375" s="73">
        <f t="shared" si="266"/>
        <v>4.4852791772386436E-2</v>
      </c>
      <c r="AA375" s="24">
        <f t="shared" si="266"/>
        <v>9.8522855195644077E-3</v>
      </c>
      <c r="AB375" s="73">
        <f t="shared" si="266"/>
        <v>3.2367456778844783E-2</v>
      </c>
      <c r="AC375" s="73">
        <f t="shared" si="266"/>
        <v>0.12450656963608386</v>
      </c>
      <c r="AD375" s="73">
        <f t="shared" si="266"/>
        <v>0.11361528240868402</v>
      </c>
      <c r="AE375" s="73">
        <f t="shared" ref="AE375" si="267">AE373/Z373-1</f>
        <v>0.14819893491832326</v>
      </c>
      <c r="AF375" s="24">
        <v>0.10442602883994256</v>
      </c>
      <c r="AG375" s="73">
        <v>4.8454971744619435E-2</v>
      </c>
      <c r="AH375" s="73">
        <v>4.3502139637062509E-2</v>
      </c>
      <c r="AI375" s="73">
        <v>0.1075842506922402</v>
      </c>
      <c r="AJ375" s="73">
        <v>0.12477146294116914</v>
      </c>
      <c r="AK375" s="24">
        <v>8.2164875955001992E-2</v>
      </c>
      <c r="AL375" s="73">
        <v>0.15137614678899092</v>
      </c>
      <c r="AM375" s="73">
        <v>9.6491228070175517E-2</v>
      </c>
      <c r="AN375" s="73">
        <v>2.0325203252032464E-2</v>
      </c>
      <c r="AO375" s="73">
        <v>1.5444015444015413E-2</v>
      </c>
      <c r="AP375" s="24">
        <v>6.7297581493165115E-2</v>
      </c>
      <c r="AQ375" s="73">
        <v>2.7888446215139417E-2</v>
      </c>
      <c r="AR375" s="73">
        <v>-1.6000000000000014E-2</v>
      </c>
      <c r="AS375" s="73">
        <v>1.9920318725099584E-2</v>
      </c>
      <c r="AT375" s="73">
        <v>-3.041825095057038E-2</v>
      </c>
      <c r="AU375" s="24">
        <v>0</v>
      </c>
      <c r="AV375" s="73">
        <v>0</v>
      </c>
      <c r="AW375" s="73">
        <v>0.1707317073170731</v>
      </c>
      <c r="AX375" s="73">
        <v>-1.171875E-2</v>
      </c>
      <c r="AY375" s="73">
        <v>1.5686274509803866E-2</v>
      </c>
      <c r="AZ375" s="24">
        <v>4.236453201970436E-2</v>
      </c>
      <c r="BA375" s="73">
        <v>-7.7519379844961267E-2</v>
      </c>
      <c r="BB375" s="73">
        <v>-0.21875</v>
      </c>
      <c r="BC375" s="73">
        <v>-0.12252964426877466</v>
      </c>
      <c r="BD375" s="73"/>
      <c r="BE375" s="24"/>
    </row>
    <row r="376" spans="1:57" hidden="1">
      <c r="A376" s="69" t="s">
        <v>104</v>
      </c>
      <c r="B376" s="37">
        <v>445</v>
      </c>
      <c r="C376" s="80" t="s">
        <v>52</v>
      </c>
      <c r="D376" s="80" t="s">
        <v>52</v>
      </c>
      <c r="E376" s="80" t="s">
        <v>52</v>
      </c>
      <c r="F376" s="80" t="s">
        <v>52</v>
      </c>
      <c r="G376" s="37">
        <v>526</v>
      </c>
      <c r="H376" s="70">
        <v>125</v>
      </c>
      <c r="I376" s="70">
        <v>137</v>
      </c>
      <c r="J376" s="70">
        <v>137</v>
      </c>
      <c r="K376" s="70">
        <f>L376-J376-I376-H376</f>
        <v>142</v>
      </c>
      <c r="L376" s="37">
        <v>541</v>
      </c>
      <c r="M376" s="70">
        <v>133</v>
      </c>
      <c r="N376" s="70">
        <v>141</v>
      </c>
      <c r="O376" s="70">
        <v>139</v>
      </c>
      <c r="P376" s="70">
        <f>Q376-O376-N376-M376</f>
        <v>145</v>
      </c>
      <c r="Q376" s="37">
        <v>558</v>
      </c>
      <c r="R376" s="70">
        <v>136</v>
      </c>
      <c r="S376" s="70">
        <v>139</v>
      </c>
      <c r="T376" s="70">
        <v>142</v>
      </c>
      <c r="U376" s="70">
        <f>V376-T376-S376-R376</f>
        <v>149</v>
      </c>
      <c r="V376" s="37">
        <v>566</v>
      </c>
      <c r="W376" s="70">
        <v>130.816</v>
      </c>
      <c r="X376" s="70">
        <v>135</v>
      </c>
      <c r="Y376" s="70">
        <v>139.10900000000001</v>
      </c>
      <c r="Z376" s="70">
        <f>AA376-Y376-X376-W376</f>
        <v>139.48999999999992</v>
      </c>
      <c r="AA376" s="37">
        <v>544.41499999999996</v>
      </c>
      <c r="AB376" s="70">
        <v>137.65100000000001</v>
      </c>
      <c r="AC376" s="70">
        <v>140.249</v>
      </c>
      <c r="AD376" s="70">
        <v>137.51900000000001</v>
      </c>
      <c r="AE376" s="70">
        <f>AF376-AD376-AC376-AB376</f>
        <v>138.54799999999994</v>
      </c>
      <c r="AF376" s="37">
        <v>553.96699999999998</v>
      </c>
      <c r="AG376" s="70">
        <v>137</v>
      </c>
      <c r="AH376" s="70">
        <v>137</v>
      </c>
      <c r="AI376" s="70">
        <v>139</v>
      </c>
      <c r="AJ376" s="70">
        <v>140</v>
      </c>
      <c r="AK376" s="37">
        <v>553</v>
      </c>
      <c r="AL376" s="70">
        <v>142</v>
      </c>
      <c r="AM376" s="70">
        <v>141</v>
      </c>
      <c r="AN376" s="70">
        <v>138</v>
      </c>
      <c r="AO376" s="70">
        <v>142</v>
      </c>
      <c r="AP376" s="37">
        <v>563</v>
      </c>
      <c r="AQ376" s="70">
        <v>137</v>
      </c>
      <c r="AR376" s="70">
        <v>131</v>
      </c>
      <c r="AS376" s="70">
        <v>128</v>
      </c>
      <c r="AT376" s="70">
        <v>137</v>
      </c>
      <c r="AU376" s="37">
        <v>533</v>
      </c>
      <c r="AV376" s="70">
        <v>126</v>
      </c>
      <c r="AW376" s="70">
        <v>119</v>
      </c>
      <c r="AX376" s="70">
        <v>114</v>
      </c>
      <c r="AY376" s="70">
        <v>120</v>
      </c>
      <c r="AZ376" s="37">
        <v>479</v>
      </c>
      <c r="BA376" s="70">
        <v>114</v>
      </c>
      <c r="BB376" s="70">
        <v>111</v>
      </c>
      <c r="BC376" s="70">
        <v>111</v>
      </c>
      <c r="BD376" s="70"/>
      <c r="BE376" s="37"/>
    </row>
    <row r="377" spans="1:57" ht="12" hidden="1" customHeight="1">
      <c r="A377" s="71" t="s">
        <v>7</v>
      </c>
      <c r="B377" s="24"/>
      <c r="C377" s="72"/>
      <c r="D377" s="72"/>
      <c r="E377" s="72"/>
      <c r="F377" s="72"/>
      <c r="G377" s="24"/>
      <c r="H377" s="72"/>
      <c r="I377" s="72">
        <f>I376/H376-1</f>
        <v>9.6000000000000085E-2</v>
      </c>
      <c r="J377" s="72">
        <f>J376/I376-1</f>
        <v>0</v>
      </c>
      <c r="K377" s="72">
        <f>K376/J376-1</f>
        <v>3.649635036496357E-2</v>
      </c>
      <c r="L377" s="24"/>
      <c r="M377" s="72">
        <f>M376/K376-1</f>
        <v>-6.3380281690140872E-2</v>
      </c>
      <c r="N377" s="72">
        <f>N376/M376-1</f>
        <v>6.0150375939849621E-2</v>
      </c>
      <c r="O377" s="72">
        <f>O376/N376-1</f>
        <v>-1.4184397163120588E-2</v>
      </c>
      <c r="P377" s="72">
        <f>P376/O376-1</f>
        <v>4.3165467625899234E-2</v>
      </c>
      <c r="Q377" s="24"/>
      <c r="R377" s="72">
        <f>R376/P376-1</f>
        <v>-6.2068965517241392E-2</v>
      </c>
      <c r="S377" s="72">
        <f>S376/R376-1</f>
        <v>2.2058823529411686E-2</v>
      </c>
      <c r="T377" s="72">
        <f>T376/S376-1</f>
        <v>2.1582733812949728E-2</v>
      </c>
      <c r="U377" s="72">
        <f>U376/T376-1</f>
        <v>4.9295774647887258E-2</v>
      </c>
      <c r="V377" s="24"/>
      <c r="W377" s="72">
        <f>W376/U376-1</f>
        <v>-0.12204026845637583</v>
      </c>
      <c r="X377" s="72">
        <f>X376/W376-1</f>
        <v>3.198385518590996E-2</v>
      </c>
      <c r="Y377" s="72">
        <f>Y376/X376-1</f>
        <v>3.043703703703704E-2</v>
      </c>
      <c r="Z377" s="72">
        <f>Z376/Y376-1</f>
        <v>2.7388594555342038E-3</v>
      </c>
      <c r="AA377" s="24"/>
      <c r="AB377" s="72">
        <f>AB376/Z376-1</f>
        <v>-1.3183740769947105E-2</v>
      </c>
      <c r="AC377" s="72">
        <f>AC376/AB376-1</f>
        <v>1.8873818570152023E-2</v>
      </c>
      <c r="AD377" s="72">
        <f>AD376/AC376-1</f>
        <v>-1.9465379432295316E-2</v>
      </c>
      <c r="AE377" s="72">
        <f>AE376/AD376-1</f>
        <v>7.4826024040310912E-3</v>
      </c>
      <c r="AF377" s="24"/>
      <c r="AG377" s="72">
        <v>-1.1173023067817311E-2</v>
      </c>
      <c r="AH377" s="72">
        <v>0</v>
      </c>
      <c r="AI377" s="72">
        <v>1.4598540145985384E-2</v>
      </c>
      <c r="AJ377" s="72">
        <v>7.194244604316502E-3</v>
      </c>
      <c r="AK377" s="24"/>
      <c r="AL377" s="72">
        <v>1.4285714285714235E-2</v>
      </c>
      <c r="AM377" s="72">
        <v>-7.0422535211267512E-3</v>
      </c>
      <c r="AN377" s="72">
        <v>-2.1276595744680882E-2</v>
      </c>
      <c r="AO377" s="72">
        <v>2.8985507246376718E-2</v>
      </c>
      <c r="AP377" s="24"/>
      <c r="AQ377" s="72">
        <v>-3.5211267605633756E-2</v>
      </c>
      <c r="AR377" s="72">
        <v>-4.3795620437956151E-2</v>
      </c>
      <c r="AS377" s="72">
        <v>-2.2900763358778664E-2</v>
      </c>
      <c r="AT377" s="72">
        <v>7.03125E-2</v>
      </c>
      <c r="AU377" s="24"/>
      <c r="AV377" s="72">
        <v>-8.0291970802919721E-2</v>
      </c>
      <c r="AW377" s="72">
        <v>-5.555555555555558E-2</v>
      </c>
      <c r="AX377" s="72">
        <v>-4.2016806722689037E-2</v>
      </c>
      <c r="AY377" s="72">
        <v>5.2631578947368363E-2</v>
      </c>
      <c r="AZ377" s="24"/>
      <c r="BA377" s="72">
        <v>-5.0000000000000044E-2</v>
      </c>
      <c r="BB377" s="72">
        <v>-2.6315789473684181E-2</v>
      </c>
      <c r="BC377" s="72">
        <v>0</v>
      </c>
      <c r="BD377" s="72"/>
      <c r="BE377" s="24"/>
    </row>
    <row r="378" spans="1:57" ht="11.25" hidden="1" customHeight="1">
      <c r="A378" s="71" t="s">
        <v>8</v>
      </c>
      <c r="B378" s="24"/>
      <c r="C378" s="73"/>
      <c r="D378" s="73"/>
      <c r="E378" s="73"/>
      <c r="F378" s="73"/>
      <c r="G378" s="24">
        <f>G376/B376-1</f>
        <v>0.18202247191011245</v>
      </c>
      <c r="H378" s="73"/>
      <c r="I378" s="73"/>
      <c r="J378" s="73"/>
      <c r="K378" s="73"/>
      <c r="L378" s="24">
        <f t="shared" ref="L378:AD378" si="268">L376/G376-1</f>
        <v>2.8517110266159662E-2</v>
      </c>
      <c r="M378" s="73">
        <f t="shared" si="268"/>
        <v>6.4000000000000057E-2</v>
      </c>
      <c r="N378" s="73">
        <f t="shared" si="268"/>
        <v>2.9197080291970767E-2</v>
      </c>
      <c r="O378" s="73">
        <f t="shared" si="268"/>
        <v>1.4598540145985384E-2</v>
      </c>
      <c r="P378" s="73">
        <f t="shared" si="268"/>
        <v>2.1126760563380254E-2</v>
      </c>
      <c r="Q378" s="24">
        <f t="shared" si="268"/>
        <v>3.1423290203327126E-2</v>
      </c>
      <c r="R378" s="73">
        <f t="shared" si="268"/>
        <v>2.2556390977443552E-2</v>
      </c>
      <c r="S378" s="73">
        <f t="shared" si="268"/>
        <v>-1.4184397163120588E-2</v>
      </c>
      <c r="T378" s="73">
        <f t="shared" si="268"/>
        <v>2.1582733812949728E-2</v>
      </c>
      <c r="U378" s="73">
        <f t="shared" si="268"/>
        <v>2.7586206896551779E-2</v>
      </c>
      <c r="V378" s="24">
        <f t="shared" si="268"/>
        <v>1.4336917562723928E-2</v>
      </c>
      <c r="W378" s="73">
        <f t="shared" si="268"/>
        <v>-3.8117647058823478E-2</v>
      </c>
      <c r="X378" s="73">
        <f t="shared" si="268"/>
        <v>-2.877697841726623E-2</v>
      </c>
      <c r="Y378" s="73">
        <f t="shared" si="268"/>
        <v>-2.0359154929577405E-2</v>
      </c>
      <c r="Z378" s="73">
        <f t="shared" si="268"/>
        <v>-6.3825503355705249E-2</v>
      </c>
      <c r="AA378" s="24">
        <f t="shared" si="268"/>
        <v>-3.8136042402826864E-2</v>
      </c>
      <c r="AB378" s="73">
        <f t="shared" si="268"/>
        <v>5.2248960371819919E-2</v>
      </c>
      <c r="AC378" s="73">
        <f t="shared" si="268"/>
        <v>3.8881481481481517E-2</v>
      </c>
      <c r="AD378" s="73">
        <f t="shared" si="268"/>
        <v>-1.1429885916799054E-2</v>
      </c>
      <c r="AE378" s="73">
        <f t="shared" ref="AE378" si="269">AE376/Z376-1</f>
        <v>-6.7531722704134989E-3</v>
      </c>
      <c r="AF378" s="24">
        <v>1.7545438681887848E-2</v>
      </c>
      <c r="AG378" s="73">
        <v>-4.7293517664238616E-3</v>
      </c>
      <c r="AH378" s="73">
        <v>-2.3165940577116406E-2</v>
      </c>
      <c r="AI378" s="73">
        <v>1.0769420952741138E-2</v>
      </c>
      <c r="AJ378" s="73">
        <v>1.0480122412449555E-2</v>
      </c>
      <c r="AK378" s="24">
        <v>-1.7455913438887416E-3</v>
      </c>
      <c r="AL378" s="73">
        <v>3.649635036496357E-2</v>
      </c>
      <c r="AM378" s="73">
        <v>2.9197080291970767E-2</v>
      </c>
      <c r="AN378" s="73">
        <v>-7.194244604316502E-3</v>
      </c>
      <c r="AO378" s="73">
        <v>1.4285714285714235E-2</v>
      </c>
      <c r="AP378" s="24">
        <v>1.8083182640144635E-2</v>
      </c>
      <c r="AQ378" s="73">
        <v>-3.5211267605633756E-2</v>
      </c>
      <c r="AR378" s="73">
        <v>-7.0921985815602828E-2</v>
      </c>
      <c r="AS378" s="73">
        <v>-7.2463768115942018E-2</v>
      </c>
      <c r="AT378" s="73">
        <v>-3.5211267605633756E-2</v>
      </c>
      <c r="AU378" s="24">
        <v>-5.3285968028419228E-2</v>
      </c>
      <c r="AV378" s="73">
        <v>-8.0291970802919721E-2</v>
      </c>
      <c r="AW378" s="73">
        <v>-9.1603053435114545E-2</v>
      </c>
      <c r="AX378" s="73">
        <v>-0.109375</v>
      </c>
      <c r="AY378" s="73">
        <v>-0.12408759124087587</v>
      </c>
      <c r="AZ378" s="24">
        <v>-0.10131332082551592</v>
      </c>
      <c r="BA378" s="73">
        <v>-9.5238095238095233E-2</v>
      </c>
      <c r="BB378" s="73">
        <v>-6.7226890756302504E-2</v>
      </c>
      <c r="BC378" s="73">
        <v>-2.6315789473684181E-2</v>
      </c>
      <c r="BD378" s="73"/>
      <c r="BE378" s="24"/>
    </row>
    <row r="379" spans="1:57" hidden="1">
      <c r="A379" s="69" t="s">
        <v>84</v>
      </c>
      <c r="B379" s="37">
        <v>147</v>
      </c>
      <c r="C379" s="80" t="s">
        <v>52</v>
      </c>
      <c r="D379" s="80" t="s">
        <v>52</v>
      </c>
      <c r="E379" s="80" t="s">
        <v>52</v>
      </c>
      <c r="F379" s="80" t="s">
        <v>52</v>
      </c>
      <c r="G379" s="37">
        <v>181</v>
      </c>
      <c r="H379" s="70">
        <v>41</v>
      </c>
      <c r="I379" s="70">
        <v>43</v>
      </c>
      <c r="J379" s="70">
        <v>47</v>
      </c>
      <c r="K379" s="70">
        <f>L379-J379-I379-H379</f>
        <v>44</v>
      </c>
      <c r="L379" s="37">
        <v>175</v>
      </c>
      <c r="M379" s="70">
        <v>44</v>
      </c>
      <c r="N379" s="70">
        <v>48</v>
      </c>
      <c r="O379" s="70">
        <v>48</v>
      </c>
      <c r="P379" s="70">
        <f>Q379-O379-N379-M379</f>
        <v>52</v>
      </c>
      <c r="Q379" s="37">
        <v>192</v>
      </c>
      <c r="R379" s="70">
        <v>47</v>
      </c>
      <c r="S379" s="70">
        <v>53</v>
      </c>
      <c r="T379" s="70">
        <v>51</v>
      </c>
      <c r="U379" s="70">
        <f>V379-T379-S379-R379</f>
        <v>58.084000000000003</v>
      </c>
      <c r="V379" s="37">
        <v>209.084</v>
      </c>
      <c r="W379" s="70">
        <v>50.045999999999999</v>
      </c>
      <c r="X379" s="70">
        <v>52.976999999999997</v>
      </c>
      <c r="Y379" s="70">
        <v>54.37</v>
      </c>
      <c r="Z379" s="70">
        <f>AA379-Y379-X379-W379</f>
        <v>51.805</v>
      </c>
      <c r="AA379" s="37">
        <v>209.19800000000001</v>
      </c>
      <c r="AB379" s="70">
        <v>51.332000000000001</v>
      </c>
      <c r="AC379" s="70">
        <v>50.058</v>
      </c>
      <c r="AD379" s="70">
        <v>49.411999999999999</v>
      </c>
      <c r="AE379" s="70">
        <f>AF379-AD379-AC379-AB379</f>
        <v>54.455000000000005</v>
      </c>
      <c r="AF379" s="37">
        <v>205.25700000000001</v>
      </c>
      <c r="AG379" s="70">
        <v>50</v>
      </c>
      <c r="AH379" s="70">
        <v>50</v>
      </c>
      <c r="AI379" s="70">
        <v>53</v>
      </c>
      <c r="AJ379" s="70">
        <v>56</v>
      </c>
      <c r="AK379" s="37">
        <v>209</v>
      </c>
      <c r="AL379" s="70">
        <v>53</v>
      </c>
      <c r="AM379" s="70">
        <v>53</v>
      </c>
      <c r="AN379" s="70">
        <v>49</v>
      </c>
      <c r="AO379" s="70">
        <v>54</v>
      </c>
      <c r="AP379" s="37">
        <v>209</v>
      </c>
      <c r="AQ379" s="70">
        <v>57</v>
      </c>
      <c r="AR379" s="70">
        <v>56</v>
      </c>
      <c r="AS379" s="70">
        <v>55</v>
      </c>
      <c r="AT379" s="70">
        <v>53</v>
      </c>
      <c r="AU379" s="37">
        <v>221</v>
      </c>
      <c r="AV379" s="70">
        <v>48</v>
      </c>
      <c r="AW379" s="70">
        <v>46</v>
      </c>
      <c r="AX379" s="70">
        <v>48</v>
      </c>
      <c r="AY379" s="70">
        <v>45</v>
      </c>
      <c r="AZ379" s="37">
        <v>187</v>
      </c>
      <c r="BA379" s="70">
        <v>50</v>
      </c>
      <c r="BB379" s="70">
        <v>52</v>
      </c>
      <c r="BC379" s="70">
        <v>49</v>
      </c>
      <c r="BD379" s="70"/>
      <c r="BE379" s="37"/>
    </row>
    <row r="380" spans="1:57" hidden="1">
      <c r="A380" s="71" t="s">
        <v>7</v>
      </c>
      <c r="B380" s="24"/>
      <c r="C380" s="72"/>
      <c r="D380" s="72"/>
      <c r="E380" s="72"/>
      <c r="F380" s="72"/>
      <c r="G380" s="24"/>
      <c r="H380" s="72"/>
      <c r="I380" s="72">
        <f>I379/H379-1</f>
        <v>4.8780487804878092E-2</v>
      </c>
      <c r="J380" s="72">
        <f>J379/I379-1</f>
        <v>9.3023255813953432E-2</v>
      </c>
      <c r="K380" s="72">
        <f>K379/J379-1</f>
        <v>-6.3829787234042534E-2</v>
      </c>
      <c r="L380" s="24"/>
      <c r="M380" s="72">
        <f>M379/K379-1</f>
        <v>0</v>
      </c>
      <c r="N380" s="72">
        <f>N379/M379-1</f>
        <v>9.0909090909090828E-2</v>
      </c>
      <c r="O380" s="72">
        <f>O379/N379-1</f>
        <v>0</v>
      </c>
      <c r="P380" s="72">
        <f>P379/O379-1</f>
        <v>8.3333333333333259E-2</v>
      </c>
      <c r="Q380" s="24"/>
      <c r="R380" s="72">
        <f>R379/P379-1</f>
        <v>-9.6153846153846145E-2</v>
      </c>
      <c r="S380" s="72">
        <f>S379/R379-1</f>
        <v>0.12765957446808507</v>
      </c>
      <c r="T380" s="72">
        <f>T379/S379-1</f>
        <v>-3.7735849056603765E-2</v>
      </c>
      <c r="U380" s="72">
        <f>U379/T379-1</f>
        <v>0.13890196078431383</v>
      </c>
      <c r="V380" s="24"/>
      <c r="W380" s="72">
        <f>W379/U379-1</f>
        <v>-0.13838578610288554</v>
      </c>
      <c r="X380" s="72">
        <f>X379/W379-1</f>
        <v>5.8566119170363251E-2</v>
      </c>
      <c r="Y380" s="72">
        <f>Y379/X379-1</f>
        <v>2.629442965815354E-2</v>
      </c>
      <c r="Z380" s="72">
        <f>Z379/Y379-1</f>
        <v>-4.7176751885230739E-2</v>
      </c>
      <c r="AA380" s="24"/>
      <c r="AB380" s="72">
        <f>AB379/Z379-1</f>
        <v>-9.1303928192258965E-3</v>
      </c>
      <c r="AC380" s="72">
        <f>AC379/AB379-1</f>
        <v>-2.4818826463025023E-2</v>
      </c>
      <c r="AD380" s="72">
        <f>AD379/AC379-1</f>
        <v>-1.2905030165008657E-2</v>
      </c>
      <c r="AE380" s="72">
        <f>AE379/AD379-1</f>
        <v>0.10206022828462724</v>
      </c>
      <c r="AF380" s="24"/>
      <c r="AG380" s="72">
        <v>-8.1810669360022126E-2</v>
      </c>
      <c r="AH380" s="72">
        <v>0</v>
      </c>
      <c r="AI380" s="72">
        <v>6.0000000000000053E-2</v>
      </c>
      <c r="AJ380" s="72">
        <v>5.6603773584905648E-2</v>
      </c>
      <c r="AK380" s="24"/>
      <c r="AL380" s="72">
        <v>-5.3571428571428603E-2</v>
      </c>
      <c r="AM380" s="72">
        <v>0</v>
      </c>
      <c r="AN380" s="72">
        <v>-7.547169811320753E-2</v>
      </c>
      <c r="AO380" s="72">
        <v>0.1020408163265305</v>
      </c>
      <c r="AP380" s="24"/>
      <c r="AQ380" s="72">
        <v>5.555555555555558E-2</v>
      </c>
      <c r="AR380" s="72">
        <v>-1.7543859649122862E-2</v>
      </c>
      <c r="AS380" s="72">
        <v>-1.7857142857142905E-2</v>
      </c>
      <c r="AT380" s="72">
        <v>-3.6363636363636376E-2</v>
      </c>
      <c r="AU380" s="24"/>
      <c r="AV380" s="72">
        <v>-9.4339622641509413E-2</v>
      </c>
      <c r="AW380" s="72">
        <v>-4.166666666666663E-2</v>
      </c>
      <c r="AX380" s="72">
        <v>4.3478260869565188E-2</v>
      </c>
      <c r="AY380" s="72">
        <v>-6.25E-2</v>
      </c>
      <c r="AZ380" s="24"/>
      <c r="BA380" s="72">
        <v>0.11111111111111116</v>
      </c>
      <c r="BB380" s="72">
        <v>4.0000000000000036E-2</v>
      </c>
      <c r="BC380" s="72">
        <v>-5.7692307692307709E-2</v>
      </c>
      <c r="BD380" s="72"/>
      <c r="BE380" s="24"/>
    </row>
    <row r="381" spans="1:57" hidden="1">
      <c r="A381" s="71" t="s">
        <v>8</v>
      </c>
      <c r="B381" s="24"/>
      <c r="C381" s="73"/>
      <c r="D381" s="73"/>
      <c r="E381" s="73"/>
      <c r="F381" s="73"/>
      <c r="G381" s="24">
        <f>G379/B379-1</f>
        <v>0.23129251700680276</v>
      </c>
      <c r="H381" s="73"/>
      <c r="I381" s="73"/>
      <c r="J381" s="73"/>
      <c r="K381" s="73"/>
      <c r="L381" s="24">
        <f t="shared" ref="L381:AD381" si="270">L379/G379-1</f>
        <v>-3.3149171270718258E-2</v>
      </c>
      <c r="M381" s="73">
        <f t="shared" si="270"/>
        <v>7.3170731707317138E-2</v>
      </c>
      <c r="N381" s="73">
        <f t="shared" si="270"/>
        <v>0.11627906976744184</v>
      </c>
      <c r="O381" s="73">
        <f t="shared" si="270"/>
        <v>2.1276595744680771E-2</v>
      </c>
      <c r="P381" s="73">
        <f t="shared" si="270"/>
        <v>0.18181818181818188</v>
      </c>
      <c r="Q381" s="24">
        <f t="shared" si="270"/>
        <v>9.7142857142857197E-2</v>
      </c>
      <c r="R381" s="73">
        <f t="shared" si="270"/>
        <v>6.8181818181818121E-2</v>
      </c>
      <c r="S381" s="73">
        <f t="shared" si="270"/>
        <v>0.10416666666666674</v>
      </c>
      <c r="T381" s="73">
        <f t="shared" si="270"/>
        <v>6.25E-2</v>
      </c>
      <c r="U381" s="73">
        <f t="shared" si="270"/>
        <v>0.11699999999999999</v>
      </c>
      <c r="V381" s="24">
        <f t="shared" si="270"/>
        <v>8.8979166666666609E-2</v>
      </c>
      <c r="W381" s="73">
        <f t="shared" si="270"/>
        <v>6.4808510638297845E-2</v>
      </c>
      <c r="X381" s="73">
        <f t="shared" si="270"/>
        <v>-4.3396226415104433E-4</v>
      </c>
      <c r="Y381" s="73">
        <f t="shared" si="270"/>
        <v>6.6078431372548874E-2</v>
      </c>
      <c r="Z381" s="73">
        <f t="shared" si="270"/>
        <v>-0.10810205908683979</v>
      </c>
      <c r="AA381" s="24">
        <f t="shared" si="270"/>
        <v>5.4523540777862145E-4</v>
      </c>
      <c r="AB381" s="73">
        <f t="shared" si="270"/>
        <v>2.5696359349398623E-2</v>
      </c>
      <c r="AC381" s="73">
        <f t="shared" si="270"/>
        <v>-5.5099382751005122E-2</v>
      </c>
      <c r="AD381" s="73">
        <f t="shared" si="270"/>
        <v>-9.118999448225118E-2</v>
      </c>
      <c r="AE381" s="73">
        <f t="shared" ref="AE381" si="271">AE379/Z379-1</f>
        <v>5.1153363574944599E-2</v>
      </c>
      <c r="AF381" s="24">
        <v>-1.8838612223826212E-2</v>
      </c>
      <c r="AG381" s="73">
        <v>-2.5948725940933559E-2</v>
      </c>
      <c r="AH381" s="73">
        <v>-1.1586559590874845E-3</v>
      </c>
      <c r="AI381" s="73">
        <v>7.261393993361942E-2</v>
      </c>
      <c r="AJ381" s="73">
        <v>2.8372050316775255E-2</v>
      </c>
      <c r="AK381" s="24">
        <v>1.8235675275386498E-2</v>
      </c>
      <c r="AL381" s="73">
        <v>6.0000000000000053E-2</v>
      </c>
      <c r="AM381" s="73">
        <v>6.0000000000000053E-2</v>
      </c>
      <c r="AN381" s="73">
        <v>-7.547169811320753E-2</v>
      </c>
      <c r="AO381" s="73">
        <v>-3.5714285714285698E-2</v>
      </c>
      <c r="AP381" s="24">
        <v>0</v>
      </c>
      <c r="AQ381" s="73">
        <v>7.547169811320753E-2</v>
      </c>
      <c r="AR381" s="73">
        <v>5.6603773584905648E-2</v>
      </c>
      <c r="AS381" s="73">
        <v>0.12244897959183665</v>
      </c>
      <c r="AT381" s="73">
        <v>-1.851851851851849E-2</v>
      </c>
      <c r="AU381" s="24">
        <v>5.741626794258381E-2</v>
      </c>
      <c r="AV381" s="73">
        <v>-0.15789473684210531</v>
      </c>
      <c r="AW381" s="73">
        <v>-0.1785714285714286</v>
      </c>
      <c r="AX381" s="73">
        <v>-0.12727272727272732</v>
      </c>
      <c r="AY381" s="73">
        <v>-0.15094339622641506</v>
      </c>
      <c r="AZ381" s="24">
        <v>-0.15384615384615385</v>
      </c>
      <c r="BA381" s="73">
        <v>4.1666666666666741E-2</v>
      </c>
      <c r="BB381" s="73">
        <v>0.13043478260869557</v>
      </c>
      <c r="BC381" s="73">
        <v>2.0833333333333259E-2</v>
      </c>
      <c r="BD381" s="73"/>
      <c r="BE381" s="24"/>
    </row>
    <row r="382" spans="1:57" hidden="1">
      <c r="A382" s="69" t="s">
        <v>85</v>
      </c>
      <c r="B382" s="37">
        <v>94</v>
      </c>
      <c r="C382" s="80" t="s">
        <v>52</v>
      </c>
      <c r="D382" s="80" t="s">
        <v>52</v>
      </c>
      <c r="E382" s="80" t="s">
        <v>52</v>
      </c>
      <c r="F382" s="80" t="s">
        <v>52</v>
      </c>
      <c r="G382" s="37">
        <v>103</v>
      </c>
      <c r="H382" s="70">
        <v>24</v>
      </c>
      <c r="I382" s="70">
        <v>26</v>
      </c>
      <c r="J382" s="70">
        <v>24</v>
      </c>
      <c r="K382" s="70">
        <f>L382-J382-I382-H382</f>
        <v>31</v>
      </c>
      <c r="L382" s="37">
        <v>105</v>
      </c>
      <c r="M382" s="70">
        <v>28</v>
      </c>
      <c r="N382" s="70">
        <v>27</v>
      </c>
      <c r="O382" s="70">
        <v>26</v>
      </c>
      <c r="P382" s="70">
        <f>Q382-O382-N382-M382</f>
        <v>28</v>
      </c>
      <c r="Q382" s="37">
        <v>109</v>
      </c>
      <c r="R382" s="70">
        <v>28</v>
      </c>
      <c r="S382" s="70">
        <v>26</v>
      </c>
      <c r="T382" s="70">
        <v>30</v>
      </c>
      <c r="U382" s="70">
        <f>V382-T382-S382-R382</f>
        <v>32.278000000000006</v>
      </c>
      <c r="V382" s="37">
        <f>115.861+0.417</f>
        <v>116.27800000000001</v>
      </c>
      <c r="W382" s="70">
        <v>31.416</v>
      </c>
      <c r="X382" s="70">
        <v>28.713000000000001</v>
      </c>
      <c r="Y382" s="70">
        <v>29.314</v>
      </c>
      <c r="Z382" s="70">
        <f>AA382-Y382-X382-W382</f>
        <v>27.634000000000004</v>
      </c>
      <c r="AA382" s="37">
        <f>117.077</f>
        <v>117.077</v>
      </c>
      <c r="AB382" s="70">
        <v>29.92</v>
      </c>
      <c r="AC382" s="70">
        <f>29.967+0.001</f>
        <v>29.968</v>
      </c>
      <c r="AD382" s="70">
        <f>31.247+1.975</f>
        <v>33.222000000000001</v>
      </c>
      <c r="AE382" s="70">
        <f>AF382-AD382-AC382-AB382</f>
        <v>25.918000000000006</v>
      </c>
      <c r="AF382" s="37">
        <v>119.02800000000001</v>
      </c>
      <c r="AG382" s="70">
        <v>29</v>
      </c>
      <c r="AH382" s="70">
        <v>30</v>
      </c>
      <c r="AI382" s="70">
        <v>26</v>
      </c>
      <c r="AJ382" s="70">
        <v>27</v>
      </c>
      <c r="AK382" s="37">
        <v>112</v>
      </c>
      <c r="AL382" s="70">
        <v>28</v>
      </c>
      <c r="AM382" s="70">
        <v>28</v>
      </c>
      <c r="AN382" s="147">
        <v>29</v>
      </c>
      <c r="AO382" s="70">
        <v>31</v>
      </c>
      <c r="AP382" s="37">
        <v>116</v>
      </c>
      <c r="AQ382" s="70">
        <v>29</v>
      </c>
      <c r="AR382" s="70">
        <v>28</v>
      </c>
      <c r="AS382" s="147">
        <v>28</v>
      </c>
      <c r="AT382" s="70">
        <v>33</v>
      </c>
      <c r="AU382" s="37">
        <v>118</v>
      </c>
      <c r="AV382" s="70">
        <v>29</v>
      </c>
      <c r="AW382" s="70">
        <v>27</v>
      </c>
      <c r="AX382" s="70">
        <v>28</v>
      </c>
      <c r="AY382" s="70">
        <v>31</v>
      </c>
      <c r="AZ382" s="37">
        <v>115</v>
      </c>
      <c r="BA382" s="70">
        <v>28</v>
      </c>
      <c r="BB382" s="70">
        <v>30</v>
      </c>
      <c r="BC382" s="70">
        <v>29</v>
      </c>
      <c r="BD382" s="70"/>
      <c r="BE382" s="37"/>
    </row>
    <row r="383" spans="1:57" hidden="1">
      <c r="A383" s="71" t="s">
        <v>7</v>
      </c>
      <c r="B383" s="24"/>
      <c r="C383" s="72"/>
      <c r="D383" s="72"/>
      <c r="E383" s="72"/>
      <c r="F383" s="72"/>
      <c r="G383" s="24"/>
      <c r="H383" s="72"/>
      <c r="I383" s="72">
        <f>I382/H382-1</f>
        <v>8.3333333333333259E-2</v>
      </c>
      <c r="J383" s="72">
        <f>J382/I382-1</f>
        <v>-7.6923076923076872E-2</v>
      </c>
      <c r="K383" s="72">
        <f>K382/J382-1</f>
        <v>0.29166666666666674</v>
      </c>
      <c r="L383" s="24"/>
      <c r="M383" s="72">
        <f>M382/K382-1</f>
        <v>-9.6774193548387122E-2</v>
      </c>
      <c r="N383" s="72">
        <f>N382/M382-1</f>
        <v>-3.5714285714285698E-2</v>
      </c>
      <c r="O383" s="72">
        <f>O382/N382-1</f>
        <v>-3.703703703703709E-2</v>
      </c>
      <c r="P383" s="72">
        <f>P382/O382-1</f>
        <v>7.6923076923076872E-2</v>
      </c>
      <c r="Q383" s="24"/>
      <c r="R383" s="72">
        <f>R382/P382-1</f>
        <v>0</v>
      </c>
      <c r="S383" s="72">
        <f>S382/R382-1</f>
        <v>-7.1428571428571397E-2</v>
      </c>
      <c r="T383" s="72">
        <f>T382/S382-1</f>
        <v>0.15384615384615374</v>
      </c>
      <c r="U383" s="72">
        <f>U382/T382-1</f>
        <v>7.593333333333363E-2</v>
      </c>
      <c r="V383" s="24"/>
      <c r="W383" s="72">
        <f>W382/U382-1</f>
        <v>-2.6705496003470053E-2</v>
      </c>
      <c r="X383" s="72">
        <f>X382/W382-1</f>
        <v>-8.6038961038961026E-2</v>
      </c>
      <c r="Y383" s="72">
        <f>Y382/X382-1</f>
        <v>2.0931285480444428E-2</v>
      </c>
      <c r="Z383" s="72">
        <f>Z382/Y382-1</f>
        <v>-5.7310500102340067E-2</v>
      </c>
      <c r="AA383" s="24"/>
      <c r="AB383" s="72">
        <f>AB382/Z382-1</f>
        <v>8.2724180357530486E-2</v>
      </c>
      <c r="AC383" s="72">
        <f>AC382/AB382-1</f>
        <v>1.6042780748661833E-3</v>
      </c>
      <c r="AD383" s="72">
        <f>AD382/AC382-1</f>
        <v>0.10858248798718639</v>
      </c>
      <c r="AE383" s="72">
        <f>AE382/AD382-1</f>
        <v>-0.21985431340677852</v>
      </c>
      <c r="AF383" s="24"/>
      <c r="AG383" s="72">
        <v>0.11891349641175997</v>
      </c>
      <c r="AH383" s="72">
        <v>3.4482758620689724E-2</v>
      </c>
      <c r="AI383" s="72">
        <v>-0.1333333333333333</v>
      </c>
      <c r="AJ383" s="72">
        <v>3.8461538461538547E-2</v>
      </c>
      <c r="AK383" s="24"/>
      <c r="AL383" s="72">
        <v>3.7037037037036979E-2</v>
      </c>
      <c r="AM383" s="72">
        <v>0</v>
      </c>
      <c r="AN383" s="72">
        <v>3.5714285714285809E-2</v>
      </c>
      <c r="AO383" s="72">
        <v>6.8965517241379226E-2</v>
      </c>
      <c r="AP383" s="24"/>
      <c r="AQ383" s="72">
        <v>-6.4516129032258118E-2</v>
      </c>
      <c r="AR383" s="72">
        <v>-3.4482758620689613E-2</v>
      </c>
      <c r="AS383" s="72">
        <v>0</v>
      </c>
      <c r="AT383" s="72">
        <v>0.1785714285714286</v>
      </c>
      <c r="AU383" s="24"/>
      <c r="AV383" s="72">
        <v>-0.12121212121212122</v>
      </c>
      <c r="AW383" s="72">
        <v>-6.8965517241379337E-2</v>
      </c>
      <c r="AX383" s="72">
        <v>3.7037037037036979E-2</v>
      </c>
      <c r="AY383" s="72">
        <v>0.10714285714285721</v>
      </c>
      <c r="AZ383" s="24"/>
      <c r="BA383" s="72">
        <v>-9.6774193548387122E-2</v>
      </c>
      <c r="BB383" s="72">
        <v>7.1428571428571397E-2</v>
      </c>
      <c r="BC383" s="72">
        <v>-3.3333333333333326E-2</v>
      </c>
      <c r="BD383" s="72"/>
      <c r="BE383" s="24"/>
    </row>
    <row r="384" spans="1:57" hidden="1">
      <c r="A384" s="71" t="s">
        <v>8</v>
      </c>
      <c r="B384" s="24"/>
      <c r="C384" s="73"/>
      <c r="D384" s="73"/>
      <c r="E384" s="73"/>
      <c r="F384" s="73"/>
      <c r="G384" s="24">
        <f>G382/B382-1</f>
        <v>9.5744680851063801E-2</v>
      </c>
      <c r="H384" s="73"/>
      <c r="I384" s="73"/>
      <c r="J384" s="73"/>
      <c r="K384" s="73"/>
      <c r="L384" s="24">
        <f t="shared" ref="L384:AD384" si="272">L382/G382-1</f>
        <v>1.9417475728155331E-2</v>
      </c>
      <c r="M384" s="73">
        <f t="shared" si="272"/>
        <v>0.16666666666666674</v>
      </c>
      <c r="N384" s="73">
        <f t="shared" si="272"/>
        <v>3.8461538461538547E-2</v>
      </c>
      <c r="O384" s="73">
        <f t="shared" si="272"/>
        <v>8.3333333333333259E-2</v>
      </c>
      <c r="P384" s="73">
        <f t="shared" si="272"/>
        <v>-9.6774193548387122E-2</v>
      </c>
      <c r="Q384" s="24">
        <f t="shared" si="272"/>
        <v>3.8095238095238182E-2</v>
      </c>
      <c r="R384" s="73">
        <f t="shared" si="272"/>
        <v>0</v>
      </c>
      <c r="S384" s="73">
        <f t="shared" si="272"/>
        <v>-3.703703703703709E-2</v>
      </c>
      <c r="T384" s="73">
        <f t="shared" si="272"/>
        <v>0.15384615384615374</v>
      </c>
      <c r="U384" s="73">
        <f t="shared" si="272"/>
        <v>0.15278571428571452</v>
      </c>
      <c r="V384" s="24">
        <f t="shared" si="272"/>
        <v>6.6770642201834818E-2</v>
      </c>
      <c r="W384" s="73">
        <f t="shared" si="272"/>
        <v>0.12200000000000011</v>
      </c>
      <c r="X384" s="73">
        <f t="shared" si="272"/>
        <v>0.10434615384615387</v>
      </c>
      <c r="Y384" s="73">
        <f t="shared" si="272"/>
        <v>-2.2866666666666702E-2</v>
      </c>
      <c r="Z384" s="73">
        <f t="shared" si="272"/>
        <v>-0.14387508519734804</v>
      </c>
      <c r="AA384" s="24">
        <f t="shared" si="272"/>
        <v>6.8714632174615708E-3</v>
      </c>
      <c r="AB384" s="73">
        <f t="shared" si="272"/>
        <v>-4.7619047619047561E-2</v>
      </c>
      <c r="AC384" s="73">
        <f t="shared" si="272"/>
        <v>4.3708424755337205E-2</v>
      </c>
      <c r="AD384" s="73">
        <f t="shared" si="272"/>
        <v>0.13331513952377705</v>
      </c>
      <c r="AE384" s="73">
        <f t="shared" ref="AE384" si="273">AE382/Z382-1</f>
        <v>-6.2097416226387647E-2</v>
      </c>
      <c r="AF384" s="24">
        <v>1.6664246606933997E-2</v>
      </c>
      <c r="AG384" s="73">
        <v>-3.074866310160429E-2</v>
      </c>
      <c r="AH384" s="73">
        <v>1.0678056593700358E-3</v>
      </c>
      <c r="AI384" s="73">
        <v>-0.21738606947203665</v>
      </c>
      <c r="AJ384" s="73">
        <v>4.1747048383362628E-2</v>
      </c>
      <c r="AK384" s="24">
        <v>-5.9044930604563728E-2</v>
      </c>
      <c r="AL384" s="73">
        <v>-3.4482758620689613E-2</v>
      </c>
      <c r="AM384" s="73">
        <v>-6.6666666666666652E-2</v>
      </c>
      <c r="AN384" s="73">
        <v>0.11538461538461542</v>
      </c>
      <c r="AO384" s="73">
        <v>0.14814814814814814</v>
      </c>
      <c r="AP384" s="24">
        <v>3.5714285714285809E-2</v>
      </c>
      <c r="AQ384" s="73">
        <v>3.5714285714285809E-2</v>
      </c>
      <c r="AR384" s="73">
        <v>0</v>
      </c>
      <c r="AS384" s="73">
        <v>-3.4482758620689613E-2</v>
      </c>
      <c r="AT384" s="73">
        <v>6.4516129032258007E-2</v>
      </c>
      <c r="AU384" s="24">
        <v>1.7241379310344751E-2</v>
      </c>
      <c r="AV384" s="73">
        <v>0</v>
      </c>
      <c r="AW384" s="73">
        <v>-3.5714285714285698E-2</v>
      </c>
      <c r="AX384" s="73">
        <v>0</v>
      </c>
      <c r="AY384" s="73">
        <v>-6.0606060606060552E-2</v>
      </c>
      <c r="AZ384" s="24">
        <v>-2.5423728813559365E-2</v>
      </c>
      <c r="BA384" s="73">
        <v>-3.4482758620689613E-2</v>
      </c>
      <c r="BB384" s="73">
        <v>0.11111111111111116</v>
      </c>
      <c r="BC384" s="73">
        <v>3.5714285714285809E-2</v>
      </c>
      <c r="BD384" s="73"/>
      <c r="BE384" s="24"/>
    </row>
    <row r="385" spans="1:57" ht="11.25" customHeight="1">
      <c r="A385" s="69" t="s">
        <v>273</v>
      </c>
      <c r="B385" s="37">
        <f>46.096+24.952+15.549</f>
        <v>86.597000000000008</v>
      </c>
      <c r="C385" s="70">
        <v>20</v>
      </c>
      <c r="D385" s="70">
        <f>10.137+5.245+4.935</f>
        <v>20.317</v>
      </c>
      <c r="E385" s="70">
        <f>10.15+5.082+4.672</f>
        <v>19.904</v>
      </c>
      <c r="F385" s="70">
        <f>G385-E385-D385-C385</f>
        <v>19.860999999999997</v>
      </c>
      <c r="G385" s="37">
        <f>40.852+20.34+18.89</f>
        <v>80.081999999999994</v>
      </c>
      <c r="H385" s="70">
        <f>10.212+4.612+4.79</f>
        <v>19.614000000000001</v>
      </c>
      <c r="I385" s="70">
        <f>10.079+5.233+5.362</f>
        <v>20.673999999999999</v>
      </c>
      <c r="J385" s="70">
        <f>10.169+5.512+5.719</f>
        <v>21.400000000000002</v>
      </c>
      <c r="K385" s="70">
        <f>L385-J385-I385-H385</f>
        <v>22.546000000000003</v>
      </c>
      <c r="L385" s="37">
        <f>41.005+21.158+22.071</f>
        <v>84.234000000000009</v>
      </c>
      <c r="M385" s="70">
        <f>10.003+6.211+6.375</f>
        <v>22.588999999999999</v>
      </c>
      <c r="N385" s="70">
        <v>23</v>
      </c>
      <c r="O385" s="70">
        <v>23.52</v>
      </c>
      <c r="P385" s="70">
        <f>Q385-O385-N385-M385</f>
        <v>25.182000000000002</v>
      </c>
      <c r="Q385" s="37">
        <f>42.96+25.374+25.957</f>
        <v>94.290999999999997</v>
      </c>
      <c r="R385" s="70">
        <f>11.201+6.443+6.622</f>
        <v>24.265999999999998</v>
      </c>
      <c r="S385" s="70">
        <f>11.652+8.008+6.743</f>
        <v>26.402999999999999</v>
      </c>
      <c r="T385" s="70">
        <f>12.275+8.876+6.822</f>
        <v>27.972999999999999</v>
      </c>
      <c r="U385" s="70">
        <f>V385-T385-S385-R385</f>
        <v>30.244</v>
      </c>
      <c r="V385" s="37">
        <f>48.323+33.462+27.101</f>
        <v>108.886</v>
      </c>
      <c r="W385" s="70">
        <f>17.646+10.076+6.634</f>
        <v>34.356000000000002</v>
      </c>
      <c r="X385" s="70">
        <f>17.483+10.26+6.699</f>
        <v>34.442</v>
      </c>
      <c r="Y385" s="70">
        <f>17.873+11.189+5.441</f>
        <v>34.503</v>
      </c>
      <c r="Z385" s="70">
        <f>AA385-Y385-X385-W385</f>
        <v>33.073</v>
      </c>
      <c r="AA385" s="37">
        <f>71.403+43.312+21.659</f>
        <v>136.374</v>
      </c>
      <c r="AB385" s="70">
        <f>17.414+10.524+3.354</f>
        <v>31.292000000000002</v>
      </c>
      <c r="AC385" s="70">
        <f>17.625+10.517+4.39</f>
        <v>32.531999999999996</v>
      </c>
      <c r="AD385" s="70">
        <f>17.249+11.187+4.514</f>
        <v>32.950000000000003</v>
      </c>
      <c r="AE385" s="70">
        <f>AF385-AD385-AC385-AB385</f>
        <v>33.225999999999999</v>
      </c>
      <c r="AF385" s="37">
        <v>130</v>
      </c>
      <c r="AG385" s="70">
        <v>32</v>
      </c>
      <c r="AH385" s="70">
        <v>32</v>
      </c>
      <c r="AI385" s="70">
        <v>32</v>
      </c>
      <c r="AJ385" s="70">
        <v>34</v>
      </c>
      <c r="AK385" s="37">
        <v>130</v>
      </c>
      <c r="AL385" s="70">
        <v>32</v>
      </c>
      <c r="AM385" s="70">
        <v>32</v>
      </c>
      <c r="AN385" s="70">
        <v>33</v>
      </c>
      <c r="AO385" s="70">
        <v>35</v>
      </c>
      <c r="AP385" s="37">
        <v>132</v>
      </c>
      <c r="AQ385" s="70">
        <v>33</v>
      </c>
      <c r="AR385" s="70">
        <v>35</v>
      </c>
      <c r="AS385" s="70">
        <v>35</v>
      </c>
      <c r="AT385" s="70">
        <v>34</v>
      </c>
      <c r="AU385" s="37">
        <v>137</v>
      </c>
      <c r="AV385" s="70">
        <v>33</v>
      </c>
      <c r="AW385" s="70">
        <v>33</v>
      </c>
      <c r="AX385" s="70">
        <v>34</v>
      </c>
      <c r="AY385" s="70">
        <v>35</v>
      </c>
      <c r="AZ385" s="37">
        <v>135</v>
      </c>
      <c r="BA385" s="70">
        <v>43</v>
      </c>
      <c r="BB385" s="70">
        <v>45</v>
      </c>
      <c r="BC385" s="70">
        <v>46</v>
      </c>
      <c r="BD385" s="70">
        <v>60</v>
      </c>
      <c r="BE385" s="37">
        <v>194</v>
      </c>
    </row>
    <row r="386" spans="1:57" ht="11.25" customHeight="1">
      <c r="A386" s="82" t="s">
        <v>7</v>
      </c>
      <c r="B386" s="24"/>
      <c r="C386" s="72"/>
      <c r="D386" s="72">
        <f>D385/C385-1</f>
        <v>1.584999999999992E-2</v>
      </c>
      <c r="E386" s="72">
        <f>E385/D385-1</f>
        <v>-2.0327804301816244E-2</v>
      </c>
      <c r="F386" s="72">
        <f>F385/E385-1</f>
        <v>-2.1603697749197348E-3</v>
      </c>
      <c r="G386" s="24"/>
      <c r="H386" s="72">
        <f>H385/F385-1</f>
        <v>-1.2436433210815001E-2</v>
      </c>
      <c r="I386" s="72">
        <f>I385/H385-1</f>
        <v>5.4043030488426513E-2</v>
      </c>
      <c r="J386" s="72">
        <f>J385/I385-1</f>
        <v>3.5116571539131503E-2</v>
      </c>
      <c r="K386" s="72">
        <f>K385/J385-1</f>
        <v>5.3551401869158965E-2</v>
      </c>
      <c r="L386" s="24"/>
      <c r="M386" s="72">
        <f>M385/K385-1</f>
        <v>1.9072119222920403E-3</v>
      </c>
      <c r="N386" s="72">
        <f>N385/M385-1</f>
        <v>1.8194696533711197E-2</v>
      </c>
      <c r="O386" s="72">
        <f>O385/N385-1</f>
        <v>2.2608695652173827E-2</v>
      </c>
      <c r="P386" s="72">
        <f>P385/O385-1</f>
        <v>7.0663265306122547E-2</v>
      </c>
      <c r="Q386" s="24"/>
      <c r="R386" s="72">
        <f>R385/P385-1</f>
        <v>-3.6375188626797117E-2</v>
      </c>
      <c r="S386" s="72">
        <f>S385/R385-1</f>
        <v>8.8065606197972546E-2</v>
      </c>
      <c r="T386" s="72">
        <f>T385/S385-1</f>
        <v>5.9462939817445104E-2</v>
      </c>
      <c r="U386" s="72">
        <f>U385/T385-1</f>
        <v>8.1185428806348936E-2</v>
      </c>
      <c r="V386" s="24"/>
      <c r="W386" s="72">
        <f>W385/U385-1</f>
        <v>0.13596085173918793</v>
      </c>
      <c r="X386" s="72">
        <f>X385/W385-1</f>
        <v>2.5032017697053099E-3</v>
      </c>
      <c r="Y386" s="72">
        <f>Y385/X385-1</f>
        <v>1.7710934324370875E-3</v>
      </c>
      <c r="Z386" s="72">
        <v>-4.1445671390893501E-2</v>
      </c>
      <c r="AA386" s="24"/>
      <c r="AB386" s="72">
        <f>AB385/Z385-1</f>
        <v>-5.385057297493423E-2</v>
      </c>
      <c r="AC386" s="72">
        <f>AC385/AB385-1</f>
        <v>3.9626741659209763E-2</v>
      </c>
      <c r="AD386" s="72">
        <f>AD385/AC385-1</f>
        <v>1.2848887249477636E-2</v>
      </c>
      <c r="AE386" s="72">
        <f>AE385/AD385-1</f>
        <v>8.3763277693473803E-3</v>
      </c>
      <c r="AF386" s="24"/>
      <c r="AG386" s="72">
        <v>-3.6898814181664963E-2</v>
      </c>
      <c r="AH386" s="72">
        <v>0</v>
      </c>
      <c r="AI386" s="72">
        <v>0</v>
      </c>
      <c r="AJ386" s="72">
        <v>6.25E-2</v>
      </c>
      <c r="AK386" s="24"/>
      <c r="AL386" s="72">
        <v>-5.8823529411764719E-2</v>
      </c>
      <c r="AM386" s="72">
        <v>0</v>
      </c>
      <c r="AN386" s="72">
        <v>3.125E-2</v>
      </c>
      <c r="AO386" s="72">
        <v>6.0606060606060552E-2</v>
      </c>
      <c r="AP386" s="24"/>
      <c r="AQ386" s="72">
        <v>-5.7142857142857162E-2</v>
      </c>
      <c r="AR386" s="72">
        <v>6.0606060606060552E-2</v>
      </c>
      <c r="AS386" s="72">
        <v>0</v>
      </c>
      <c r="AT386" s="72">
        <v>-2.8571428571428581E-2</v>
      </c>
      <c r="AU386" s="24"/>
      <c r="AV386" s="72">
        <v>-2.9411764705882359E-2</v>
      </c>
      <c r="AW386" s="72">
        <v>0</v>
      </c>
      <c r="AX386" s="72">
        <v>3.0303030303030276E-2</v>
      </c>
      <c r="AY386" s="72">
        <v>2.9411764705882248E-2</v>
      </c>
      <c r="AZ386" s="24"/>
      <c r="BA386" s="72">
        <v>0.22857142857142865</v>
      </c>
      <c r="BB386" s="72">
        <v>4.6511627906976827E-2</v>
      </c>
      <c r="BC386" s="72">
        <v>2.2222222222222143E-2</v>
      </c>
      <c r="BD386" s="72">
        <v>0.30434782608695654</v>
      </c>
      <c r="BE386" s="24"/>
    </row>
    <row r="387" spans="1:57" ht="11.25" customHeight="1">
      <c r="A387" s="82" t="s">
        <v>8</v>
      </c>
      <c r="B387" s="24"/>
      <c r="C387" s="73"/>
      <c r="D387" s="73"/>
      <c r="E387" s="73"/>
      <c r="F387" s="73"/>
      <c r="G387" s="24">
        <f t="shared" ref="G387:N387" si="274">G385/B385-1</f>
        <v>-7.5233553125397146E-2</v>
      </c>
      <c r="H387" s="73">
        <f t="shared" si="274"/>
        <v>-1.9299999999999984E-2</v>
      </c>
      <c r="I387" s="73">
        <f t="shared" si="274"/>
        <v>1.7571491854112331E-2</v>
      </c>
      <c r="J387" s="73">
        <f t="shared" si="274"/>
        <v>7.5160771704180229E-2</v>
      </c>
      <c r="K387" s="73">
        <f t="shared" si="274"/>
        <v>0.13518956749408417</v>
      </c>
      <c r="L387" s="24">
        <f t="shared" si="274"/>
        <v>5.1846856971604405E-2</v>
      </c>
      <c r="M387" s="73">
        <f t="shared" si="274"/>
        <v>0.15167737330478226</v>
      </c>
      <c r="N387" s="73">
        <f t="shared" si="274"/>
        <v>0.11250846473831877</v>
      </c>
      <c r="O387" s="73">
        <f t="shared" ref="O387:Y387" si="275">O385/J385-1</f>
        <v>9.9065420560747519E-2</v>
      </c>
      <c r="P387" s="73">
        <f t="shared" si="275"/>
        <v>0.11691652621307536</v>
      </c>
      <c r="Q387" s="24">
        <f t="shared" si="275"/>
        <v>0.1193935940356623</v>
      </c>
      <c r="R387" s="73">
        <f t="shared" si="275"/>
        <v>7.4239674177697168E-2</v>
      </c>
      <c r="S387" s="73">
        <f t="shared" si="275"/>
        <v>0.14795652173913032</v>
      </c>
      <c r="T387" s="73">
        <f t="shared" si="275"/>
        <v>0.18932823129251708</v>
      </c>
      <c r="U387" s="73">
        <f t="shared" si="275"/>
        <v>0.20101659915812875</v>
      </c>
      <c r="V387" s="24">
        <f t="shared" si="275"/>
        <v>0.15478677710491984</v>
      </c>
      <c r="W387" s="73">
        <f t="shared" si="275"/>
        <v>0.41580812659688471</v>
      </c>
      <c r="X387" s="73">
        <f t="shared" si="275"/>
        <v>0.30447297655569461</v>
      </c>
      <c r="Y387" s="73">
        <f t="shared" si="275"/>
        <v>0.23343938798126773</v>
      </c>
      <c r="Z387" s="73">
        <v>9.3539214389630976E-2</v>
      </c>
      <c r="AA387" s="24">
        <f t="shared" ref="AA387:AE387" si="276">AA385/V385-1</f>
        <v>0.2524475139136344</v>
      </c>
      <c r="AB387" s="73">
        <f t="shared" si="276"/>
        <v>-8.9183839795086706E-2</v>
      </c>
      <c r="AC387" s="73">
        <f t="shared" si="276"/>
        <v>-5.5455548458277826E-2</v>
      </c>
      <c r="AD387" s="73">
        <f t="shared" si="276"/>
        <v>-4.5010578790250055E-2</v>
      </c>
      <c r="AE387" s="73">
        <f t="shared" si="276"/>
        <v>4.6261300758927426E-3</v>
      </c>
      <c r="AF387" s="24">
        <v>-4.6739114493965062E-2</v>
      </c>
      <c r="AG387" s="73">
        <v>2.2625591205419848E-2</v>
      </c>
      <c r="AH387" s="73">
        <v>-1.6353129226607588E-2</v>
      </c>
      <c r="AI387" s="73">
        <v>-2.8831562974203417E-2</v>
      </c>
      <c r="AJ387" s="73">
        <v>2.3295009931981081E-2</v>
      </c>
      <c r="AK387" s="24">
        <v>0</v>
      </c>
      <c r="AL387" s="73">
        <v>0</v>
      </c>
      <c r="AM387" s="73">
        <v>0</v>
      </c>
      <c r="AN387" s="73">
        <v>3.125E-2</v>
      </c>
      <c r="AO387" s="73">
        <v>2.9411764705882248E-2</v>
      </c>
      <c r="AP387" s="24">
        <v>1.538461538461533E-2</v>
      </c>
      <c r="AQ387" s="73">
        <v>3.125E-2</v>
      </c>
      <c r="AR387" s="73">
        <v>9.375E-2</v>
      </c>
      <c r="AS387" s="73">
        <v>6.0606060606060552E-2</v>
      </c>
      <c r="AT387" s="73">
        <v>-2.8571428571428581E-2</v>
      </c>
      <c r="AU387" s="24">
        <v>3.7878787878787845E-2</v>
      </c>
      <c r="AV387" s="73">
        <v>0</v>
      </c>
      <c r="AW387" s="73">
        <v>-5.7142857142857162E-2</v>
      </c>
      <c r="AX387" s="73">
        <v>-2.8571428571428581E-2</v>
      </c>
      <c r="AY387" s="73">
        <v>2.9411764705882248E-2</v>
      </c>
      <c r="AZ387" s="24">
        <v>-1.4598540145985384E-2</v>
      </c>
      <c r="BA387" s="73">
        <v>0.30303030303030298</v>
      </c>
      <c r="BB387" s="73">
        <v>0.36363636363636354</v>
      </c>
      <c r="BC387" s="73">
        <v>0.35294117647058831</v>
      </c>
      <c r="BD387" s="73">
        <v>0.71428571428571419</v>
      </c>
      <c r="BE387" s="24">
        <v>0.43703703703703711</v>
      </c>
    </row>
    <row r="388" spans="1:57" ht="15.75" customHeight="1">
      <c r="A388" s="69" t="s">
        <v>97</v>
      </c>
      <c r="B388" s="37">
        <v>240</v>
      </c>
      <c r="C388" s="80" t="s">
        <v>52</v>
      </c>
      <c r="D388" s="80" t="s">
        <v>52</v>
      </c>
      <c r="E388" s="80" t="s">
        <v>52</v>
      </c>
      <c r="F388" s="80" t="s">
        <v>52</v>
      </c>
      <c r="G388" s="37">
        <v>260</v>
      </c>
      <c r="H388" s="80" t="s">
        <v>52</v>
      </c>
      <c r="I388" s="80" t="s">
        <v>52</v>
      </c>
      <c r="J388" s="80" t="s">
        <v>52</v>
      </c>
      <c r="K388" s="80" t="s">
        <v>52</v>
      </c>
      <c r="L388" s="37">
        <v>242</v>
      </c>
      <c r="M388" s="80" t="s">
        <v>52</v>
      </c>
      <c r="N388" s="80" t="s">
        <v>52</v>
      </c>
      <c r="O388" s="80" t="s">
        <v>52</v>
      </c>
      <c r="P388" s="80" t="s">
        <v>52</v>
      </c>
      <c r="Q388" s="37">
        <v>248</v>
      </c>
      <c r="R388" s="80" t="s">
        <v>52</v>
      </c>
      <c r="S388" s="80" t="s">
        <v>52</v>
      </c>
      <c r="T388" s="80" t="s">
        <v>52</v>
      </c>
      <c r="U388" s="80" t="s">
        <v>52</v>
      </c>
      <c r="V388" s="37">
        <v>265</v>
      </c>
      <c r="W388" s="80" t="s">
        <v>52</v>
      </c>
      <c r="X388" s="80" t="s">
        <v>52</v>
      </c>
      <c r="Y388" s="80" t="s">
        <v>52</v>
      </c>
      <c r="Z388" s="80" t="s">
        <v>52</v>
      </c>
      <c r="AA388" s="37">
        <v>278</v>
      </c>
      <c r="AB388" s="70">
        <v>73</v>
      </c>
      <c r="AC388" s="70">
        <v>70</v>
      </c>
      <c r="AD388" s="70">
        <v>70</v>
      </c>
      <c r="AE388" s="70">
        <f>AF388-AD388-AC388-AB388</f>
        <v>74</v>
      </c>
      <c r="AF388" s="37">
        <v>287</v>
      </c>
      <c r="AG388" s="70">
        <v>75</v>
      </c>
      <c r="AH388" s="70">
        <v>73</v>
      </c>
      <c r="AI388" s="70">
        <v>75</v>
      </c>
      <c r="AJ388" s="70">
        <v>75</v>
      </c>
      <c r="AK388" s="37">
        <v>298</v>
      </c>
      <c r="AL388" s="70">
        <v>77</v>
      </c>
      <c r="AM388" s="70">
        <v>74</v>
      </c>
      <c r="AN388" s="70">
        <v>75</v>
      </c>
      <c r="AO388" s="70">
        <v>77</v>
      </c>
      <c r="AP388" s="37">
        <v>303</v>
      </c>
      <c r="AQ388" s="70">
        <v>83</v>
      </c>
      <c r="AR388" s="70">
        <v>82</v>
      </c>
      <c r="AS388" s="70">
        <v>83</v>
      </c>
      <c r="AT388" s="70">
        <v>82</v>
      </c>
      <c r="AU388" s="37">
        <v>330</v>
      </c>
      <c r="AV388" s="70">
        <v>84</v>
      </c>
      <c r="AW388" s="70">
        <v>81</v>
      </c>
      <c r="AX388" s="70">
        <v>81</v>
      </c>
      <c r="AY388" s="70">
        <v>78</v>
      </c>
      <c r="AZ388" s="37">
        <v>324</v>
      </c>
      <c r="BA388" s="70">
        <v>83</v>
      </c>
      <c r="BB388" s="70">
        <v>75</v>
      </c>
      <c r="BC388" s="70">
        <v>70</v>
      </c>
      <c r="BD388" s="70">
        <v>69</v>
      </c>
      <c r="BE388" s="37">
        <v>297</v>
      </c>
    </row>
    <row r="389" spans="1:57">
      <c r="A389" s="71" t="s">
        <v>7</v>
      </c>
      <c r="B389" s="24"/>
      <c r="C389" s="73"/>
      <c r="D389" s="73"/>
      <c r="E389" s="73"/>
      <c r="F389" s="73"/>
      <c r="G389" s="24"/>
      <c r="H389" s="73"/>
      <c r="I389" s="73"/>
      <c r="J389" s="73"/>
      <c r="K389" s="73"/>
      <c r="L389" s="24"/>
      <c r="M389" s="73"/>
      <c r="N389" s="73"/>
      <c r="O389" s="73"/>
      <c r="P389" s="73"/>
      <c r="Q389" s="24"/>
      <c r="R389" s="73"/>
      <c r="S389" s="73"/>
      <c r="T389" s="73"/>
      <c r="U389" s="73"/>
      <c r="V389" s="24"/>
      <c r="W389" s="73"/>
      <c r="X389" s="73"/>
      <c r="Y389" s="73"/>
      <c r="Z389" s="73"/>
      <c r="AA389" s="24"/>
      <c r="AB389" s="72"/>
      <c r="AC389" s="72">
        <f>AC388/AB388-1</f>
        <v>-4.1095890410958957E-2</v>
      </c>
      <c r="AD389" s="72">
        <f>AD388/AC388-1</f>
        <v>0</v>
      </c>
      <c r="AE389" s="72">
        <f>AE388/AD388-1</f>
        <v>5.7142857142857162E-2</v>
      </c>
      <c r="AF389" s="24"/>
      <c r="AG389" s="72">
        <v>1.3513513513513598E-2</v>
      </c>
      <c r="AH389" s="72">
        <v>-2.6666666666666616E-2</v>
      </c>
      <c r="AI389" s="72">
        <v>2.7397260273972712E-2</v>
      </c>
      <c r="AJ389" s="72">
        <v>0</v>
      </c>
      <c r="AK389" s="24"/>
      <c r="AL389" s="72">
        <v>2.6666666666666616E-2</v>
      </c>
      <c r="AM389" s="72">
        <v>-3.8961038961038974E-2</v>
      </c>
      <c r="AN389" s="72">
        <v>1.3513513513513598E-2</v>
      </c>
      <c r="AO389" s="72">
        <v>2.6666666666666616E-2</v>
      </c>
      <c r="AP389" s="24"/>
      <c r="AQ389" s="72">
        <v>7.7922077922077948E-2</v>
      </c>
      <c r="AR389" s="72">
        <v>-1.2048192771084376E-2</v>
      </c>
      <c r="AS389" s="72">
        <v>1.2195121951219523E-2</v>
      </c>
      <c r="AT389" s="72">
        <v>-1.2048192771084376E-2</v>
      </c>
      <c r="AU389" s="24"/>
      <c r="AV389" s="72">
        <v>2.4390243902439046E-2</v>
      </c>
      <c r="AW389" s="72">
        <v>-3.5714285714285698E-2</v>
      </c>
      <c r="AX389" s="72">
        <v>0</v>
      </c>
      <c r="AY389" s="72">
        <v>-3.703703703703709E-2</v>
      </c>
      <c r="AZ389" s="24"/>
      <c r="BA389" s="72">
        <v>6.4102564102564097E-2</v>
      </c>
      <c r="BB389" s="72">
        <v>-9.6385542168674676E-2</v>
      </c>
      <c r="BC389" s="72">
        <v>-6.6666666666666652E-2</v>
      </c>
      <c r="BD389" s="72">
        <v>-1.4285714285714235E-2</v>
      </c>
      <c r="BE389" s="24"/>
    </row>
    <row r="390" spans="1:57">
      <c r="A390" s="71" t="s">
        <v>8</v>
      </c>
      <c r="B390" s="24"/>
      <c r="C390" s="73"/>
      <c r="D390" s="73"/>
      <c r="E390" s="73"/>
      <c r="F390" s="73"/>
      <c r="G390" s="24">
        <f>G388/B388-1</f>
        <v>8.3333333333333259E-2</v>
      </c>
      <c r="H390" s="73"/>
      <c r="I390" s="73"/>
      <c r="J390" s="73"/>
      <c r="K390" s="73"/>
      <c r="L390" s="24">
        <f>L388/G388-1</f>
        <v>-6.9230769230769207E-2</v>
      </c>
      <c r="M390" s="73"/>
      <c r="N390" s="73"/>
      <c r="O390" s="73"/>
      <c r="P390" s="73"/>
      <c r="Q390" s="24">
        <f>Q388/L388-1</f>
        <v>2.4793388429751984E-2</v>
      </c>
      <c r="R390" s="73"/>
      <c r="S390" s="73"/>
      <c r="T390" s="73"/>
      <c r="U390" s="73"/>
      <c r="V390" s="24">
        <f>V388/Q388-1</f>
        <v>6.8548387096774244E-2</v>
      </c>
      <c r="W390" s="73"/>
      <c r="X390" s="73"/>
      <c r="Y390" s="73"/>
      <c r="Z390" s="73"/>
      <c r="AA390" s="24">
        <f>AA388/V388-1</f>
        <v>4.9056603773584895E-2</v>
      </c>
      <c r="AB390" s="73"/>
      <c r="AC390" s="73"/>
      <c r="AD390" s="73"/>
      <c r="AE390" s="73"/>
      <c r="AF390" s="24">
        <v>3.2374100719424481E-2</v>
      </c>
      <c r="AG390" s="73">
        <v>2.7397260273972712E-2</v>
      </c>
      <c r="AH390" s="73">
        <v>4.2857142857142927E-2</v>
      </c>
      <c r="AI390" s="73">
        <v>7.1428571428571397E-2</v>
      </c>
      <c r="AJ390" s="73">
        <v>1.3513513513513598E-2</v>
      </c>
      <c r="AK390" s="24">
        <v>3.8327526132404088E-2</v>
      </c>
      <c r="AL390" s="73">
        <v>2.6666666666666616E-2</v>
      </c>
      <c r="AM390" s="73">
        <v>1.3698630136986356E-2</v>
      </c>
      <c r="AN390" s="73">
        <v>0</v>
      </c>
      <c r="AO390" s="73">
        <v>2.6666666666666616E-2</v>
      </c>
      <c r="AP390" s="24">
        <v>1.6778523489932917E-2</v>
      </c>
      <c r="AQ390" s="73">
        <v>7.7922077922077948E-2</v>
      </c>
      <c r="AR390" s="73">
        <v>0.10810810810810811</v>
      </c>
      <c r="AS390" s="73">
        <v>0.10666666666666669</v>
      </c>
      <c r="AT390" s="73">
        <v>6.4935064935064846E-2</v>
      </c>
      <c r="AU390" s="24">
        <v>8.9108910891089188E-2</v>
      </c>
      <c r="AV390" s="73">
        <v>1.2048192771084265E-2</v>
      </c>
      <c r="AW390" s="73">
        <v>-1.2195121951219523E-2</v>
      </c>
      <c r="AX390" s="73">
        <v>-2.4096385542168641E-2</v>
      </c>
      <c r="AY390" s="73">
        <v>-4.8780487804878092E-2</v>
      </c>
      <c r="AZ390" s="24">
        <v>-1.8181818181818188E-2</v>
      </c>
      <c r="BA390" s="73">
        <v>-1.1904761904761862E-2</v>
      </c>
      <c r="BB390" s="73">
        <v>-7.407407407407407E-2</v>
      </c>
      <c r="BC390" s="73">
        <v>-0.13580246913580252</v>
      </c>
      <c r="BD390" s="73">
        <v>-0.11538461538461542</v>
      </c>
      <c r="BE390" s="24">
        <v>-8.333333333333337E-2</v>
      </c>
    </row>
    <row r="391" spans="1:57" ht="12.6" customHeight="1">
      <c r="A391" s="69" t="s">
        <v>86</v>
      </c>
      <c r="B391" s="63">
        <v>773</v>
      </c>
      <c r="C391" s="80" t="s">
        <v>52</v>
      </c>
      <c r="D391" s="80" t="s">
        <v>52</v>
      </c>
      <c r="E391" s="80" t="s">
        <v>52</v>
      </c>
      <c r="F391" s="80" t="s">
        <v>52</v>
      </c>
      <c r="G391" s="63">
        <v>724</v>
      </c>
      <c r="H391" s="80" t="s">
        <v>52</v>
      </c>
      <c r="I391" s="80" t="s">
        <v>52</v>
      </c>
      <c r="J391" s="80" t="s">
        <v>52</v>
      </c>
      <c r="K391" s="80" t="s">
        <v>52</v>
      </c>
      <c r="L391" s="63">
        <v>731</v>
      </c>
      <c r="M391" s="80" t="s">
        <v>52</v>
      </c>
      <c r="N391" s="80" t="s">
        <v>52</v>
      </c>
      <c r="O391" s="80" t="s">
        <v>52</v>
      </c>
      <c r="P391" s="80" t="s">
        <v>52</v>
      </c>
      <c r="Q391" s="63">
        <v>781</v>
      </c>
      <c r="R391" s="80" t="s">
        <v>52</v>
      </c>
      <c r="S391" s="80" t="s">
        <v>52</v>
      </c>
      <c r="T391" s="80" t="s">
        <v>52</v>
      </c>
      <c r="U391" s="80" t="s">
        <v>52</v>
      </c>
      <c r="V391" s="63">
        <v>739</v>
      </c>
      <c r="W391" s="80" t="s">
        <v>52</v>
      </c>
      <c r="X391" s="80" t="s">
        <v>52</v>
      </c>
      <c r="Y391" s="80" t="s">
        <v>52</v>
      </c>
      <c r="Z391" s="80" t="s">
        <v>52</v>
      </c>
      <c r="AA391" s="63">
        <v>707</v>
      </c>
      <c r="AB391" s="70">
        <v>186</v>
      </c>
      <c r="AC391" s="70">
        <v>196</v>
      </c>
      <c r="AD391" s="70">
        <v>202</v>
      </c>
      <c r="AE391" s="70">
        <f>AF391-AD391-AC391-AB391</f>
        <v>205</v>
      </c>
      <c r="AF391" s="63">
        <v>789</v>
      </c>
      <c r="AG391" s="151">
        <v>190</v>
      </c>
      <c r="AH391" s="151">
        <v>202</v>
      </c>
      <c r="AI391" s="151">
        <v>219</v>
      </c>
      <c r="AJ391" s="70">
        <v>233</v>
      </c>
      <c r="AK391" s="63">
        <v>844</v>
      </c>
      <c r="AL391" s="186">
        <v>223</v>
      </c>
      <c r="AM391" s="186">
        <v>222</v>
      </c>
      <c r="AN391" s="186">
        <v>221</v>
      </c>
      <c r="AO391" s="70">
        <v>237</v>
      </c>
      <c r="AP391" s="178">
        <v>903</v>
      </c>
      <c r="AQ391" s="70">
        <v>228</v>
      </c>
      <c r="AR391" s="151">
        <v>213</v>
      </c>
      <c r="AS391" s="151">
        <v>221</v>
      </c>
      <c r="AT391" s="70">
        <v>225</v>
      </c>
      <c r="AU391" s="178">
        <v>887</v>
      </c>
      <c r="AV391" s="151">
        <v>218</v>
      </c>
      <c r="AW391" s="151">
        <v>247</v>
      </c>
      <c r="AX391" s="151">
        <v>214</v>
      </c>
      <c r="AY391" s="70">
        <v>222</v>
      </c>
      <c r="AZ391" s="178">
        <v>901</v>
      </c>
      <c r="BA391" s="151">
        <v>190</v>
      </c>
      <c r="BB391" s="151">
        <v>187</v>
      </c>
      <c r="BC391" s="151">
        <v>184</v>
      </c>
      <c r="BD391" s="70">
        <v>215</v>
      </c>
      <c r="BE391" s="37">
        <v>776</v>
      </c>
    </row>
    <row r="392" spans="1:57" ht="12" customHeight="1">
      <c r="A392" s="71" t="s">
        <v>7</v>
      </c>
      <c r="B392" s="63"/>
      <c r="C392" s="80"/>
      <c r="D392" s="80"/>
      <c r="E392" s="80"/>
      <c r="F392" s="80"/>
      <c r="G392" s="63"/>
      <c r="H392" s="80"/>
      <c r="I392" s="80"/>
      <c r="J392" s="80"/>
      <c r="K392" s="80"/>
      <c r="L392" s="63"/>
      <c r="M392" s="80"/>
      <c r="N392" s="80"/>
      <c r="O392" s="80"/>
      <c r="P392" s="80"/>
      <c r="Q392" s="63"/>
      <c r="R392" s="80"/>
      <c r="S392" s="80"/>
      <c r="T392" s="80"/>
      <c r="U392" s="80"/>
      <c r="V392" s="63"/>
      <c r="W392" s="80"/>
      <c r="X392" s="80"/>
      <c r="Y392" s="80"/>
      <c r="Z392" s="80"/>
      <c r="AA392" s="63"/>
      <c r="AB392" s="72"/>
      <c r="AC392" s="72">
        <f>AC391/AB391-1</f>
        <v>5.3763440860215006E-2</v>
      </c>
      <c r="AD392" s="72">
        <f>AD391/AC391-1</f>
        <v>3.0612244897959107E-2</v>
      </c>
      <c r="AE392" s="72">
        <f>AE391/AD391-1</f>
        <v>1.4851485148514865E-2</v>
      </c>
      <c r="AF392" s="24"/>
      <c r="AG392" s="72">
        <v>-7.3170731707317027E-2</v>
      </c>
      <c r="AH392" s="72">
        <v>6.315789473684208E-2</v>
      </c>
      <c r="AI392" s="72">
        <v>8.4158415841584233E-2</v>
      </c>
      <c r="AJ392" s="72">
        <v>6.3926940639269514E-2</v>
      </c>
      <c r="AK392" s="24"/>
      <c r="AL392" s="72">
        <v>-4.2918454935622297E-2</v>
      </c>
      <c r="AM392" s="72">
        <v>-4.484304932735439E-3</v>
      </c>
      <c r="AN392" s="72">
        <v>-4.5045045045044585E-3</v>
      </c>
      <c r="AO392" s="72">
        <v>7.2398190045248834E-2</v>
      </c>
      <c r="AP392" s="24"/>
      <c r="AQ392" s="72">
        <v>-3.7974683544303778E-2</v>
      </c>
      <c r="AR392" s="72">
        <v>-6.5789473684210509E-2</v>
      </c>
      <c r="AS392" s="72">
        <v>3.7558685446009488E-2</v>
      </c>
      <c r="AT392" s="72">
        <v>1.8099547511312153E-2</v>
      </c>
      <c r="AU392" s="24"/>
      <c r="AV392" s="72">
        <v>-3.1111111111111089E-2</v>
      </c>
      <c r="AW392" s="72">
        <v>0.1330275229357798</v>
      </c>
      <c r="AX392" s="72">
        <v>-0.1336032388663968</v>
      </c>
      <c r="AY392" s="72">
        <v>3.7383177570093462E-2</v>
      </c>
      <c r="AZ392" s="24"/>
      <c r="BA392" s="72">
        <v>-0.14414414414414412</v>
      </c>
      <c r="BB392" s="72">
        <v>-1.5789473684210575E-2</v>
      </c>
      <c r="BC392" s="72">
        <v>-1.6042780748663055E-2</v>
      </c>
      <c r="BD392" s="72">
        <v>0.16847826086956519</v>
      </c>
      <c r="BE392" s="24"/>
    </row>
    <row r="393" spans="1:57" ht="11.4" customHeight="1">
      <c r="A393" s="71" t="s">
        <v>8</v>
      </c>
      <c r="B393" s="63"/>
      <c r="C393" s="80"/>
      <c r="D393" s="80"/>
      <c r="E393" s="80"/>
      <c r="F393" s="80"/>
      <c r="G393" s="63"/>
      <c r="H393" s="80"/>
      <c r="I393" s="80"/>
      <c r="J393" s="80"/>
      <c r="K393" s="80"/>
      <c r="L393" s="63"/>
      <c r="M393" s="80"/>
      <c r="N393" s="80"/>
      <c r="O393" s="80"/>
      <c r="P393" s="80"/>
      <c r="Q393" s="63"/>
      <c r="R393" s="80"/>
      <c r="S393" s="80"/>
      <c r="T393" s="80"/>
      <c r="U393" s="80"/>
      <c r="V393" s="63"/>
      <c r="W393" s="80"/>
      <c r="X393" s="80"/>
      <c r="Y393" s="80"/>
      <c r="Z393" s="80"/>
      <c r="AA393" s="63"/>
      <c r="AB393" s="73"/>
      <c r="AC393" s="73"/>
      <c r="AD393" s="73"/>
      <c r="AE393" s="73"/>
      <c r="AF393" s="24">
        <v>0.11598302687411599</v>
      </c>
      <c r="AG393" s="73">
        <v>2.1505376344086002E-2</v>
      </c>
      <c r="AH393" s="73">
        <v>3.0612244897959107E-2</v>
      </c>
      <c r="AI393" s="73">
        <v>8.4158415841584233E-2</v>
      </c>
      <c r="AJ393" s="73">
        <v>0.13658536585365844</v>
      </c>
      <c r="AK393" s="24">
        <v>6.9708491761723668E-2</v>
      </c>
      <c r="AL393" s="73">
        <v>0.17368421052631589</v>
      </c>
      <c r="AM393" s="73">
        <v>9.9009900990099098E-2</v>
      </c>
      <c r="AN393" s="73">
        <v>9.1324200913243114E-3</v>
      </c>
      <c r="AO393" s="73">
        <v>1.716738197424883E-2</v>
      </c>
      <c r="AP393" s="24">
        <v>6.9905213270142097E-2</v>
      </c>
      <c r="AQ393" s="73">
        <v>2.2421524663677195E-2</v>
      </c>
      <c r="AR393" s="73">
        <v>-4.0540540540540571E-2</v>
      </c>
      <c r="AS393" s="73">
        <v>0</v>
      </c>
      <c r="AT393" s="73">
        <v>-5.0632911392405111E-2</v>
      </c>
      <c r="AU393" s="24">
        <v>-1.7718715393133966E-2</v>
      </c>
      <c r="AV393" s="73">
        <v>-4.3859649122807043E-2</v>
      </c>
      <c r="AW393" s="73">
        <v>0.15962441314553999</v>
      </c>
      <c r="AX393" s="73">
        <v>-3.1674208144796379E-2</v>
      </c>
      <c r="AY393" s="73">
        <v>-1.3333333333333308E-2</v>
      </c>
      <c r="AZ393" s="24">
        <v>1.5783540022547893E-2</v>
      </c>
      <c r="BA393" s="73">
        <v>-0.12844036697247707</v>
      </c>
      <c r="BB393" s="73">
        <v>-0.24291497975708498</v>
      </c>
      <c r="BC393" s="73">
        <v>-0.14018691588785048</v>
      </c>
      <c r="BD393" s="73">
        <v>-3.1531531531531543E-2</v>
      </c>
      <c r="BE393" s="24">
        <v>-0.13873473917869039</v>
      </c>
    </row>
    <row r="394" spans="1:57" ht="11.25" customHeight="1">
      <c r="A394" s="69" t="s">
        <v>102</v>
      </c>
      <c r="B394" s="63" t="s">
        <v>147</v>
      </c>
      <c r="C394" s="80" t="s">
        <v>52</v>
      </c>
      <c r="D394" s="80" t="s">
        <v>52</v>
      </c>
      <c r="E394" s="80" t="s">
        <v>52</v>
      </c>
      <c r="F394" s="80" t="s">
        <v>52</v>
      </c>
      <c r="G394" s="63" t="s">
        <v>147</v>
      </c>
      <c r="H394" s="80" t="s">
        <v>52</v>
      </c>
      <c r="I394" s="80" t="s">
        <v>52</v>
      </c>
      <c r="J394" s="80" t="s">
        <v>52</v>
      </c>
      <c r="K394" s="80" t="s">
        <v>52</v>
      </c>
      <c r="L394" s="63" t="s">
        <v>147</v>
      </c>
      <c r="M394" s="80" t="s">
        <v>52</v>
      </c>
      <c r="N394" s="80" t="s">
        <v>52</v>
      </c>
      <c r="O394" s="80" t="s">
        <v>52</v>
      </c>
      <c r="P394" s="80" t="s">
        <v>52</v>
      </c>
      <c r="Q394" s="63" t="s">
        <v>147</v>
      </c>
      <c r="R394" s="80" t="s">
        <v>52</v>
      </c>
      <c r="S394" s="80" t="s">
        <v>52</v>
      </c>
      <c r="T394" s="80" t="s">
        <v>52</v>
      </c>
      <c r="U394" s="80" t="s">
        <v>52</v>
      </c>
      <c r="V394" s="63" t="s">
        <v>147</v>
      </c>
      <c r="W394" s="80" t="s">
        <v>52</v>
      </c>
      <c r="X394" s="80" t="s">
        <v>52</v>
      </c>
      <c r="Y394" s="80" t="s">
        <v>52</v>
      </c>
      <c r="Z394" s="80" t="s">
        <v>52</v>
      </c>
      <c r="AA394" s="63" t="s">
        <v>147</v>
      </c>
      <c r="AB394" s="80" t="s">
        <v>52</v>
      </c>
      <c r="AC394" s="80" t="s">
        <v>52</v>
      </c>
      <c r="AD394" s="80" t="s">
        <v>52</v>
      </c>
      <c r="AE394" s="80" t="s">
        <v>52</v>
      </c>
      <c r="AF394" s="63">
        <v>3</v>
      </c>
      <c r="AG394" s="151" t="s">
        <v>147</v>
      </c>
      <c r="AH394" s="151" t="s">
        <v>147</v>
      </c>
      <c r="AI394" s="151" t="s">
        <v>147</v>
      </c>
      <c r="AJ394" s="151" t="s">
        <v>147</v>
      </c>
      <c r="AK394" s="63" t="s">
        <v>147</v>
      </c>
      <c r="AL394" s="186" t="s">
        <v>147</v>
      </c>
      <c r="AM394" s="186">
        <v>-2</v>
      </c>
      <c r="AN394" s="186">
        <v>1</v>
      </c>
      <c r="AO394" s="186">
        <v>-1</v>
      </c>
      <c r="AP394" s="178">
        <v>-2</v>
      </c>
      <c r="AQ394" s="70">
        <v>14</v>
      </c>
      <c r="AR394" s="151" t="s">
        <v>147</v>
      </c>
      <c r="AS394" s="151" t="s">
        <v>147</v>
      </c>
      <c r="AT394" s="193">
        <v>4</v>
      </c>
      <c r="AU394" s="178">
        <v>18</v>
      </c>
      <c r="AV394" s="151" t="s">
        <v>147</v>
      </c>
      <c r="AW394" s="151">
        <v>1</v>
      </c>
      <c r="AX394" s="151">
        <v>-1</v>
      </c>
      <c r="AY394" s="70">
        <v>3</v>
      </c>
      <c r="AZ394" s="178">
        <v>3</v>
      </c>
      <c r="BA394" s="151">
        <v>2</v>
      </c>
      <c r="BB394" s="151">
        <v>-1</v>
      </c>
      <c r="BC394" s="151">
        <v>2</v>
      </c>
      <c r="BD394" s="151">
        <v>5</v>
      </c>
      <c r="BE394" s="178">
        <v>8</v>
      </c>
    </row>
    <row r="395" spans="1:57">
      <c r="B395" s="37"/>
      <c r="G395" s="37"/>
      <c r="L395" s="37"/>
      <c r="Q395" s="37"/>
      <c r="V395" s="37"/>
      <c r="AA395" s="37"/>
      <c r="AF395" s="37"/>
      <c r="AK395" s="37"/>
      <c r="AP395" s="37"/>
      <c r="AU395" s="37"/>
      <c r="AZ395" s="37"/>
      <c r="BE395" s="37"/>
    </row>
    <row r="396" spans="1:57" s="36" customFormat="1">
      <c r="A396" s="69" t="s">
        <v>42</v>
      </c>
      <c r="B396" s="37">
        <v>203.58099999999999</v>
      </c>
      <c r="C396" s="70">
        <v>54.8</v>
      </c>
      <c r="D396" s="70">
        <v>62.561999999999998</v>
      </c>
      <c r="E396" s="70">
        <v>59.095999999999997</v>
      </c>
      <c r="F396" s="70">
        <f>G396-E396-D396-C396</f>
        <v>65.06</v>
      </c>
      <c r="G396" s="37">
        <v>241.518</v>
      </c>
      <c r="H396" s="70">
        <v>60.156999999999996</v>
      </c>
      <c r="I396" s="70">
        <v>67.596000000000004</v>
      </c>
      <c r="J396" s="70">
        <v>66.364999999999995</v>
      </c>
      <c r="K396" s="70">
        <f>L396-J396-I396-H396</f>
        <v>66.694000000000003</v>
      </c>
      <c r="L396" s="37">
        <v>260.81200000000001</v>
      </c>
      <c r="M396" s="70">
        <v>61.543999999999997</v>
      </c>
      <c r="N396" s="70">
        <v>123.69499999999999</v>
      </c>
      <c r="O396" s="70">
        <v>69.542000000000002</v>
      </c>
      <c r="P396" s="70">
        <f>Q396-O396-N396-M396</f>
        <v>65.050000000000026</v>
      </c>
      <c r="Q396" s="37">
        <v>319.83100000000002</v>
      </c>
      <c r="R396" s="70">
        <v>60.853999999999999</v>
      </c>
      <c r="S396" s="70">
        <v>60.320999999999998</v>
      </c>
      <c r="T396" s="70">
        <v>61.366</v>
      </c>
      <c r="U396" s="70">
        <f>V396-T396-S396-R396</f>
        <v>58.594000000000008</v>
      </c>
      <c r="V396" s="37">
        <v>241.13499999999999</v>
      </c>
      <c r="W396" s="70">
        <v>49.576999999999998</v>
      </c>
      <c r="X396" s="70">
        <v>52.960999999999999</v>
      </c>
      <c r="Y396" s="70">
        <v>54.901000000000003</v>
      </c>
      <c r="Z396" s="70">
        <f>AA396-Y396-X396-W396</f>
        <v>61.61999999999999</v>
      </c>
      <c r="AA396" s="37">
        <v>219.059</v>
      </c>
      <c r="AB396" s="70">
        <v>55.948999999999998</v>
      </c>
      <c r="AC396" s="70">
        <v>60.225000000000001</v>
      </c>
      <c r="AD396" s="70">
        <v>54.884999999999998</v>
      </c>
      <c r="AE396" s="70">
        <f>AF396-AD396-AC396-AB396</f>
        <v>56.409000000000006</v>
      </c>
      <c r="AF396" s="37">
        <v>227.46799999999999</v>
      </c>
      <c r="AG396" s="70">
        <v>58</v>
      </c>
      <c r="AH396" s="70">
        <v>58</v>
      </c>
      <c r="AI396" s="70">
        <v>59</v>
      </c>
      <c r="AJ396" s="70">
        <v>57</v>
      </c>
      <c r="AK396" s="37">
        <v>232</v>
      </c>
      <c r="AL396" s="70">
        <v>61</v>
      </c>
      <c r="AM396" s="70">
        <v>62</v>
      </c>
      <c r="AN396" s="70">
        <v>59</v>
      </c>
      <c r="AO396" s="70">
        <v>58</v>
      </c>
      <c r="AP396" s="37">
        <v>240</v>
      </c>
      <c r="AQ396" s="70">
        <v>37</v>
      </c>
      <c r="AR396" s="70">
        <v>47</v>
      </c>
      <c r="AS396" s="70">
        <v>45</v>
      </c>
      <c r="AT396" s="70">
        <v>47</v>
      </c>
      <c r="AU396" s="37">
        <v>176</v>
      </c>
      <c r="AV396" s="70">
        <v>49</v>
      </c>
      <c r="AW396" s="70">
        <v>45</v>
      </c>
      <c r="AX396" s="70">
        <v>39</v>
      </c>
      <c r="AY396" s="70">
        <v>41</v>
      </c>
      <c r="AZ396" s="37">
        <v>174</v>
      </c>
      <c r="BA396" s="70">
        <v>34</v>
      </c>
      <c r="BB396" s="70">
        <v>30</v>
      </c>
      <c r="BC396" s="70">
        <v>31</v>
      </c>
      <c r="BD396" s="151">
        <v>21</v>
      </c>
      <c r="BE396" s="37">
        <v>116</v>
      </c>
    </row>
    <row r="397" spans="1:57">
      <c r="A397" s="71" t="s">
        <v>7</v>
      </c>
      <c r="B397" s="24"/>
      <c r="C397" s="72"/>
      <c r="D397" s="72">
        <f>D396/C396-1</f>
        <v>0.14164233576642338</v>
      </c>
      <c r="E397" s="72">
        <f>E396/D396-1</f>
        <v>-5.5401042166171144E-2</v>
      </c>
      <c r="F397" s="72">
        <f>F396/E396-1</f>
        <v>0.10092053607689189</v>
      </c>
      <c r="G397" s="24"/>
      <c r="H397" s="72">
        <f>H396/F396-1</f>
        <v>-7.5361205041500234E-2</v>
      </c>
      <c r="I397" s="72">
        <f>I396/H396-1</f>
        <v>0.1236597569692639</v>
      </c>
      <c r="J397" s="72">
        <f>J396/I396-1</f>
        <v>-1.8211136753654156E-2</v>
      </c>
      <c r="K397" s="72">
        <f>K396/J396-1</f>
        <v>4.9574323815264609E-3</v>
      </c>
      <c r="L397" s="24"/>
      <c r="M397" s="72">
        <f>M396/K396-1</f>
        <v>-7.7218340480403103E-2</v>
      </c>
      <c r="N397" s="72">
        <f>N396/M396-1</f>
        <v>1.0098628623423891</v>
      </c>
      <c r="O397" s="72">
        <f>O396/N396-1</f>
        <v>-0.43779457536682964</v>
      </c>
      <c r="P397" s="72">
        <f>P396/O396-1</f>
        <v>-6.4594058266946197E-2</v>
      </c>
      <c r="Q397" s="24"/>
      <c r="R397" s="72">
        <f>R396/P396-1</f>
        <v>-6.4504227517294788E-2</v>
      </c>
      <c r="S397" s="72">
        <f>S396/R396-1</f>
        <v>-8.758668288033622E-3</v>
      </c>
      <c r="T397" s="72">
        <f>T396/S396-1</f>
        <v>1.7323983355713723E-2</v>
      </c>
      <c r="U397" s="72">
        <f>U396/T396-1</f>
        <v>-4.5171593390476716E-2</v>
      </c>
      <c r="V397" s="24"/>
      <c r="W397" s="72">
        <f>W396/U396-1</f>
        <v>-0.15388947673823272</v>
      </c>
      <c r="X397" s="72">
        <f>X396/W396-1</f>
        <v>6.8257458095487777E-2</v>
      </c>
      <c r="Y397" s="72">
        <f>Y396/X396-1</f>
        <v>3.6630728271747293E-2</v>
      </c>
      <c r="Z397" s="72">
        <v>0.12238392743301563</v>
      </c>
      <c r="AA397" s="24"/>
      <c r="AB397" s="72">
        <f>AB396/Z396-1</f>
        <v>-9.2031807854592529E-2</v>
      </c>
      <c r="AC397" s="72">
        <f>AC396/AB396-1</f>
        <v>7.6426745786341233E-2</v>
      </c>
      <c r="AD397" s="72">
        <f>AD396/AC396-1</f>
        <v>-8.8667496886674968E-2</v>
      </c>
      <c r="AE397" s="72">
        <f>AE396/AD396-1</f>
        <v>2.7767149494397625E-2</v>
      </c>
      <c r="AF397" s="24"/>
      <c r="AG397" s="72">
        <v>2.8204719105107134E-2</v>
      </c>
      <c r="AH397" s="72">
        <v>0</v>
      </c>
      <c r="AI397" s="72">
        <v>1.7241379310344751E-2</v>
      </c>
      <c r="AJ397" s="72">
        <v>-3.3898305084745783E-2</v>
      </c>
      <c r="AK397" s="24"/>
      <c r="AL397" s="72">
        <v>6.1502017897876904E-2</v>
      </c>
      <c r="AM397" s="72">
        <v>1.6393442622950838E-2</v>
      </c>
      <c r="AN397" s="72">
        <v>-4.8387096774193505E-2</v>
      </c>
      <c r="AO397" s="72">
        <v>-1.6949152542372836E-2</v>
      </c>
      <c r="AP397" s="24"/>
      <c r="AQ397" s="72">
        <v>-0.36206896551724133</v>
      </c>
      <c r="AR397" s="72">
        <v>0.27027027027027017</v>
      </c>
      <c r="AS397" s="72">
        <v>-4.2553191489361653E-2</v>
      </c>
      <c r="AT397" s="72">
        <v>4.4444444444444509E-2</v>
      </c>
      <c r="AU397" s="24"/>
      <c r="AV397" s="72">
        <v>4.2553191489361764E-2</v>
      </c>
      <c r="AW397" s="72">
        <v>-8.1632653061224469E-2</v>
      </c>
      <c r="AX397" s="72">
        <v>-0.1333333333333333</v>
      </c>
      <c r="AY397" s="72">
        <v>5.1282051282051322E-2</v>
      </c>
      <c r="AZ397" s="24"/>
      <c r="BA397" s="72">
        <v>-0.17073170731707321</v>
      </c>
      <c r="BB397" s="72">
        <v>-0.11764705882352944</v>
      </c>
      <c r="BC397" s="72">
        <v>3.3333333333333437E-2</v>
      </c>
      <c r="BD397" s="72">
        <v>-0.32258064516129037</v>
      </c>
      <c r="BE397" s="24"/>
    </row>
    <row r="398" spans="1:57">
      <c r="A398" s="71" t="s">
        <v>8</v>
      </c>
      <c r="B398" s="24"/>
      <c r="C398" s="73"/>
      <c r="D398" s="73"/>
      <c r="E398" s="73"/>
      <c r="F398" s="73"/>
      <c r="G398" s="24">
        <f t="shared" ref="G398:N398" si="277">G396/B396-1</f>
        <v>0.18634843133691259</v>
      </c>
      <c r="H398" s="73">
        <f t="shared" si="277"/>
        <v>9.7755474452554836E-2</v>
      </c>
      <c r="I398" s="73">
        <f t="shared" si="277"/>
        <v>8.0464179533902502E-2</v>
      </c>
      <c r="J398" s="73">
        <f t="shared" si="277"/>
        <v>0.12300324895085968</v>
      </c>
      <c r="K398" s="73">
        <f t="shared" si="277"/>
        <v>2.5115278204734137E-2</v>
      </c>
      <c r="L398" s="24">
        <f t="shared" si="277"/>
        <v>7.988638527977221E-2</v>
      </c>
      <c r="M398" s="73">
        <f t="shared" si="277"/>
        <v>2.3056335921006754E-2</v>
      </c>
      <c r="N398" s="73">
        <f t="shared" si="277"/>
        <v>0.82991597135925188</v>
      </c>
      <c r="O398" s="73">
        <f>O396/J396-1</f>
        <v>4.7871619076320426E-2</v>
      </c>
      <c r="P398" s="73">
        <v>-1.4999999999999999E-2</v>
      </c>
      <c r="Q398" s="24">
        <f t="shared" ref="Q398:Y398" si="278">Q396/L396-1</f>
        <v>0.22628943453522088</v>
      </c>
      <c r="R398" s="73">
        <f t="shared" si="278"/>
        <v>-1.1211490965813087E-2</v>
      </c>
      <c r="S398" s="73">
        <f t="shared" si="278"/>
        <v>-0.51234083835239908</v>
      </c>
      <c r="T398" s="73">
        <f t="shared" si="278"/>
        <v>-0.11756923873342728</v>
      </c>
      <c r="U398" s="73">
        <f t="shared" si="278"/>
        <v>-9.9246733282090882E-2</v>
      </c>
      <c r="V398" s="24">
        <f t="shared" si="278"/>
        <v>-0.24605494776929071</v>
      </c>
      <c r="W398" s="73">
        <f t="shared" si="278"/>
        <v>-0.185312387024682</v>
      </c>
      <c r="X398" s="73">
        <f t="shared" si="278"/>
        <v>-0.1220138923426336</v>
      </c>
      <c r="Y398" s="73">
        <f t="shared" si="278"/>
        <v>-0.10535149757194529</v>
      </c>
      <c r="Z398" s="73">
        <v>5.1643512987677553E-2</v>
      </c>
      <c r="AA398" s="24">
        <f t="shared" ref="AA398:AE398" si="279">AA396/V396-1</f>
        <v>-9.1550376345200801E-2</v>
      </c>
      <c r="AB398" s="73">
        <f t="shared" si="279"/>
        <v>0.12852734130746102</v>
      </c>
      <c r="AC398" s="73">
        <f t="shared" si="279"/>
        <v>0.13715753101338723</v>
      </c>
      <c r="AD398" s="73">
        <f t="shared" si="279"/>
        <v>-2.9143367151795996E-4</v>
      </c>
      <c r="AE398" s="73">
        <f t="shared" si="279"/>
        <v>-8.4566699123660882E-2</v>
      </c>
      <c r="AF398" s="24">
        <v>3.838691859270793E-2</v>
      </c>
      <c r="AG398" s="73">
        <v>3.6658385315197828E-2</v>
      </c>
      <c r="AH398" s="73">
        <v>-3.6944790369447977E-2</v>
      </c>
      <c r="AI398" s="73">
        <v>7.4974947617746146E-2</v>
      </c>
      <c r="AJ398" s="73">
        <v>1.047705153432954E-2</v>
      </c>
      <c r="AK398" s="24">
        <v>1.9923681572792784E-2</v>
      </c>
      <c r="AL398" s="73">
        <v>3.9004534212695896E-2</v>
      </c>
      <c r="AM398" s="73">
        <v>6.8965517241379226E-2</v>
      </c>
      <c r="AN398" s="73">
        <v>0</v>
      </c>
      <c r="AO398" s="73">
        <v>1.7543859649122862E-2</v>
      </c>
      <c r="AP398" s="24">
        <v>3.4482758620689724E-2</v>
      </c>
      <c r="AQ398" s="73">
        <v>-0.39344262295081966</v>
      </c>
      <c r="AR398" s="73">
        <v>-0.24193548387096775</v>
      </c>
      <c r="AS398" s="73">
        <v>-0.23728813559322037</v>
      </c>
      <c r="AT398" s="73">
        <v>-0.18965517241379315</v>
      </c>
      <c r="AU398" s="24">
        <v>-0.26666666666666672</v>
      </c>
      <c r="AV398" s="73">
        <v>0.32432432432432434</v>
      </c>
      <c r="AW398" s="73">
        <v>-4.2553191489361653E-2</v>
      </c>
      <c r="AX398" s="73">
        <v>-0.1333333333333333</v>
      </c>
      <c r="AY398" s="73">
        <v>-0.12765957446808507</v>
      </c>
      <c r="AZ398" s="24">
        <v>-1.1363636363636354E-2</v>
      </c>
      <c r="BA398" s="73">
        <v>-0.30612244897959184</v>
      </c>
      <c r="BB398" s="73">
        <v>-0.33333333333333337</v>
      </c>
      <c r="BC398" s="73">
        <v>-0.20512820512820518</v>
      </c>
      <c r="BD398" s="73">
        <v>-0.48780487804878048</v>
      </c>
      <c r="BE398" s="24">
        <v>-0.33333333333333337</v>
      </c>
    </row>
    <row r="399" spans="1:57" s="36" customFormat="1">
      <c r="A399" s="69" t="s">
        <v>41</v>
      </c>
      <c r="B399" s="37">
        <v>153.02000000000001</v>
      </c>
      <c r="C399" s="70">
        <v>41.5</v>
      </c>
      <c r="D399" s="70">
        <v>47.055999999999997</v>
      </c>
      <c r="E399" s="70">
        <v>44.006</v>
      </c>
      <c r="F399" s="70">
        <f>G399-E399-D399-C399</f>
        <v>45.786999999999992</v>
      </c>
      <c r="G399" s="37">
        <v>178.34899999999999</v>
      </c>
      <c r="H399" s="70">
        <v>44.088999999999999</v>
      </c>
      <c r="I399" s="70">
        <v>55.793999999999997</v>
      </c>
      <c r="J399" s="70">
        <v>50.698999999999998</v>
      </c>
      <c r="K399" s="70">
        <f>L399-J399-I399-H399</f>
        <v>49.417999999999992</v>
      </c>
      <c r="L399" s="37">
        <v>200</v>
      </c>
      <c r="M399" s="70">
        <v>46.469000000000001</v>
      </c>
      <c r="N399" s="70">
        <v>108.223</v>
      </c>
      <c r="O399" s="70">
        <v>53.423000000000002</v>
      </c>
      <c r="P399" s="70">
        <f>Q399-O399-N399-M399</f>
        <v>45.856000000000002</v>
      </c>
      <c r="Q399" s="37">
        <v>253.971</v>
      </c>
      <c r="R399" s="70">
        <v>45.963999999999999</v>
      </c>
      <c r="S399" s="70">
        <v>46.347000000000001</v>
      </c>
      <c r="T399" s="70">
        <v>45.918999999999997</v>
      </c>
      <c r="U399" s="70">
        <f>V399-T399-S399-R399</f>
        <v>43.99199999999999</v>
      </c>
      <c r="V399" s="37">
        <v>182.22200000000001</v>
      </c>
      <c r="W399" s="70">
        <v>35.805</v>
      </c>
      <c r="X399" s="70">
        <v>38.872999999999998</v>
      </c>
      <c r="Y399" s="70">
        <v>40.29</v>
      </c>
      <c r="Z399" s="70">
        <f>AA399-Y399-X399-W399</f>
        <v>44.630000000000031</v>
      </c>
      <c r="AA399" s="37">
        <v>159.59800000000001</v>
      </c>
      <c r="AB399" s="70">
        <v>37.485999999999997</v>
      </c>
      <c r="AC399" s="70">
        <v>43.552999999999997</v>
      </c>
      <c r="AD399" s="70">
        <v>38.768999999999998</v>
      </c>
      <c r="AE399" s="70">
        <f>AF399-AD399-AC399-AB399</f>
        <v>38.378000000000007</v>
      </c>
      <c r="AF399" s="37">
        <v>158.18600000000001</v>
      </c>
      <c r="AG399" s="70">
        <v>42</v>
      </c>
      <c r="AH399" s="70">
        <v>41</v>
      </c>
      <c r="AI399" s="70">
        <v>42</v>
      </c>
      <c r="AJ399" s="70">
        <v>40</v>
      </c>
      <c r="AK399" s="37">
        <v>165</v>
      </c>
      <c r="AL399" s="70">
        <v>44</v>
      </c>
      <c r="AM399" s="70">
        <v>45</v>
      </c>
      <c r="AN399" s="70">
        <v>41</v>
      </c>
      <c r="AO399" s="70">
        <v>42</v>
      </c>
      <c r="AP399" s="37">
        <v>172</v>
      </c>
      <c r="AQ399" s="70">
        <v>26</v>
      </c>
      <c r="AR399" s="70">
        <v>33</v>
      </c>
      <c r="AS399" s="70">
        <v>33</v>
      </c>
      <c r="AT399" s="70">
        <v>33</v>
      </c>
      <c r="AU399" s="37">
        <v>125</v>
      </c>
      <c r="AV399" s="70">
        <v>36</v>
      </c>
      <c r="AW399" s="70">
        <v>33</v>
      </c>
      <c r="AX399" s="70">
        <v>27</v>
      </c>
      <c r="AY399" s="70">
        <v>31</v>
      </c>
      <c r="AZ399" s="37">
        <v>127</v>
      </c>
      <c r="BA399" s="70">
        <v>24</v>
      </c>
      <c r="BB399" s="70">
        <v>20</v>
      </c>
      <c r="BC399" s="70">
        <v>20</v>
      </c>
      <c r="BD399" s="151">
        <v>13</v>
      </c>
      <c r="BE399" s="37">
        <v>77</v>
      </c>
    </row>
    <row r="400" spans="1:57">
      <c r="A400" s="71" t="s">
        <v>7</v>
      </c>
      <c r="B400" s="24"/>
      <c r="C400" s="72"/>
      <c r="D400" s="72">
        <f>D399/C399-1</f>
        <v>0.13387951807228915</v>
      </c>
      <c r="E400" s="72">
        <f>E399/D399-1</f>
        <v>-6.4816388983338968E-2</v>
      </c>
      <c r="F400" s="72">
        <f>F399/E399-1</f>
        <v>4.0471753851747394E-2</v>
      </c>
      <c r="G400" s="24"/>
      <c r="H400" s="72">
        <f>H399/F399-1</f>
        <v>-3.7084762050363484E-2</v>
      </c>
      <c r="I400" s="72">
        <f>I399/H399-1</f>
        <v>0.26548572206219245</v>
      </c>
      <c r="J400" s="72">
        <f>J399/I399-1</f>
        <v>-9.1318062874144124E-2</v>
      </c>
      <c r="K400" s="72">
        <f>K399/J399-1</f>
        <v>-2.5266770547742623E-2</v>
      </c>
      <c r="L400" s="24"/>
      <c r="M400" s="72">
        <f>M399/K399-1</f>
        <v>-5.9674612489376222E-2</v>
      </c>
      <c r="N400" s="72">
        <f>N399/M399-1</f>
        <v>1.3289289633949513</v>
      </c>
      <c r="O400" s="72">
        <f>O399/N399-1</f>
        <v>-0.50636186392910931</v>
      </c>
      <c r="P400" s="72">
        <f>P399/O399-1</f>
        <v>-0.14164311251708062</v>
      </c>
      <c r="Q400" s="24"/>
      <c r="R400" s="72">
        <f>R399/P399-1</f>
        <v>2.3551988834611404E-3</v>
      </c>
      <c r="S400" s="72">
        <f>S399/R399-1</f>
        <v>8.3326081281003272E-3</v>
      </c>
      <c r="T400" s="72">
        <f>T399/S399-1</f>
        <v>-9.2346861717048645E-3</v>
      </c>
      <c r="U400" s="72">
        <f>U399/T399-1</f>
        <v>-4.1965199590583535E-2</v>
      </c>
      <c r="V400" s="24"/>
      <c r="W400" s="72">
        <f>W399/U399-1</f>
        <v>-0.18610201854882691</v>
      </c>
      <c r="X400" s="72">
        <f>X399/W399-1</f>
        <v>8.5686356654098628E-2</v>
      </c>
      <c r="Y400" s="72">
        <f>Y399/X399-1</f>
        <v>3.6452036117613718E-2</v>
      </c>
      <c r="Z400" s="72">
        <v>0.10771903698188212</v>
      </c>
      <c r="AA400" s="24"/>
      <c r="AB400" s="72">
        <f>AB399/Z399-1</f>
        <v>-0.16007170064978782</v>
      </c>
      <c r="AC400" s="72">
        <f>AC399/AB399-1</f>
        <v>0.16184708958010985</v>
      </c>
      <c r="AD400" s="72">
        <f>AD399/AC399-1</f>
        <v>-0.10984317957431178</v>
      </c>
      <c r="AE400" s="72">
        <f>AE399/AD399-1</f>
        <v>-1.0085377492326075E-2</v>
      </c>
      <c r="AF400" s="24"/>
      <c r="AG400" s="72">
        <v>9.4376986815362773E-2</v>
      </c>
      <c r="AH400" s="72">
        <v>-2.3809523809523836E-2</v>
      </c>
      <c r="AI400" s="72">
        <v>2.4390243902439046E-2</v>
      </c>
      <c r="AJ400" s="72">
        <v>-4.7619047619047672E-2</v>
      </c>
      <c r="AK400" s="24"/>
      <c r="AL400" s="72">
        <v>0.10000000000000009</v>
      </c>
      <c r="AM400" s="72">
        <v>2.2727272727272707E-2</v>
      </c>
      <c r="AN400" s="72">
        <v>-8.8888888888888906E-2</v>
      </c>
      <c r="AO400" s="72">
        <v>2.4390243902439046E-2</v>
      </c>
      <c r="AP400" s="24"/>
      <c r="AQ400" s="72">
        <v>-0.38095238095238093</v>
      </c>
      <c r="AR400" s="72">
        <v>0.26923076923076916</v>
      </c>
      <c r="AS400" s="72">
        <v>0</v>
      </c>
      <c r="AT400" s="72">
        <v>0</v>
      </c>
      <c r="AU400" s="24"/>
      <c r="AV400" s="72">
        <v>9.0909090909090828E-2</v>
      </c>
      <c r="AW400" s="72">
        <v>-8.333333333333337E-2</v>
      </c>
      <c r="AX400" s="72">
        <v>-0.18181818181818177</v>
      </c>
      <c r="AY400" s="72">
        <v>0.14814814814814814</v>
      </c>
      <c r="AZ400" s="24"/>
      <c r="BA400" s="72">
        <v>-0.22580645161290325</v>
      </c>
      <c r="BB400" s="72">
        <v>-0.16666666666666663</v>
      </c>
      <c r="BC400" s="72">
        <v>0</v>
      </c>
      <c r="BD400" s="72">
        <v>-0.35</v>
      </c>
      <c r="BE400" s="24"/>
    </row>
    <row r="401" spans="1:57">
      <c r="A401" s="71" t="s">
        <v>8</v>
      </c>
      <c r="B401" s="24"/>
      <c r="C401" s="73"/>
      <c r="D401" s="73"/>
      <c r="E401" s="73"/>
      <c r="F401" s="73"/>
      <c r="G401" s="24">
        <f t="shared" ref="G401:N401" si="280">G399/B399-1</f>
        <v>0.16552738204156303</v>
      </c>
      <c r="H401" s="73">
        <f t="shared" si="280"/>
        <v>6.2385542168674757E-2</v>
      </c>
      <c r="I401" s="73">
        <f t="shared" si="280"/>
        <v>0.18569364161849711</v>
      </c>
      <c r="J401" s="73">
        <f t="shared" si="280"/>
        <v>0.15209289642321489</v>
      </c>
      <c r="K401" s="73">
        <f t="shared" si="280"/>
        <v>7.9301985279664589E-2</v>
      </c>
      <c r="L401" s="24">
        <f t="shared" si="280"/>
        <v>0.12139681186886397</v>
      </c>
      <c r="M401" s="73">
        <f t="shared" si="280"/>
        <v>5.3981718796071609E-2</v>
      </c>
      <c r="N401" s="73">
        <f t="shared" si="280"/>
        <v>0.93968885543248382</v>
      </c>
      <c r="O401" s="73">
        <f t="shared" ref="O401:Y401" si="281">O399/J399-1</f>
        <v>5.372887039192098E-2</v>
      </c>
      <c r="P401" s="73">
        <f t="shared" si="281"/>
        <v>-7.2078999554817891E-2</v>
      </c>
      <c r="Q401" s="24">
        <f t="shared" si="281"/>
        <v>0.26985499999999996</v>
      </c>
      <c r="R401" s="73">
        <f t="shared" si="281"/>
        <v>-1.0867460027114917E-2</v>
      </c>
      <c r="S401" s="73">
        <f t="shared" si="281"/>
        <v>-0.5717453775999557</v>
      </c>
      <c r="T401" s="73">
        <f t="shared" si="281"/>
        <v>-0.14046384516032429</v>
      </c>
      <c r="U401" s="73">
        <f t="shared" si="281"/>
        <v>-4.0648988136776198E-2</v>
      </c>
      <c r="V401" s="24">
        <f t="shared" si="281"/>
        <v>-0.28250863287540706</v>
      </c>
      <c r="W401" s="73">
        <f t="shared" si="281"/>
        <v>-0.22102079888608472</v>
      </c>
      <c r="X401" s="73">
        <f t="shared" si="281"/>
        <v>-0.16126178609187225</v>
      </c>
      <c r="Y401" s="73">
        <f t="shared" si="281"/>
        <v>-0.12258542215640578</v>
      </c>
      <c r="Z401" s="73">
        <v>1.450263684306341E-2</v>
      </c>
      <c r="AA401" s="24">
        <f t="shared" ref="AA401:AE401" si="282">AA399/V399-1</f>
        <v>-0.12415624897103528</v>
      </c>
      <c r="AB401" s="73">
        <f t="shared" si="282"/>
        <v>4.6948750174556464E-2</v>
      </c>
      <c r="AC401" s="73">
        <f t="shared" si="282"/>
        <v>0.12039204589303631</v>
      </c>
      <c r="AD401" s="73">
        <f t="shared" si="282"/>
        <v>-3.775130305286678E-2</v>
      </c>
      <c r="AE401" s="73">
        <f t="shared" si="282"/>
        <v>-0.14008514452162268</v>
      </c>
      <c r="AF401" s="24">
        <v>-8.8472286620133733E-3</v>
      </c>
      <c r="AG401" s="73">
        <v>0.12041828949474476</v>
      </c>
      <c r="AH401" s="73">
        <v>-5.8618235253598994E-2</v>
      </c>
      <c r="AI401" s="73">
        <v>8.3339781784415479E-2</v>
      </c>
      <c r="AJ401" s="73">
        <v>4.2263796967012102E-2</v>
      </c>
      <c r="AK401" s="24">
        <v>4.3075872706813456E-2</v>
      </c>
      <c r="AL401" s="73">
        <v>4.7619047619047672E-2</v>
      </c>
      <c r="AM401" s="73">
        <v>9.7560975609756184E-2</v>
      </c>
      <c r="AN401" s="73">
        <v>-2.3809523809523836E-2</v>
      </c>
      <c r="AO401" s="73">
        <v>5.0000000000000044E-2</v>
      </c>
      <c r="AP401" s="24">
        <v>4.2424242424242475E-2</v>
      </c>
      <c r="AQ401" s="73">
        <v>-0.40909090909090906</v>
      </c>
      <c r="AR401" s="73">
        <v>-0.26666666666666672</v>
      </c>
      <c r="AS401" s="73">
        <v>-0.19512195121951215</v>
      </c>
      <c r="AT401" s="73">
        <v>-0.2142857142857143</v>
      </c>
      <c r="AU401" s="24">
        <v>-0.27325581395348841</v>
      </c>
      <c r="AV401" s="73">
        <v>0.38461538461538458</v>
      </c>
      <c r="AW401" s="73">
        <v>0</v>
      </c>
      <c r="AX401" s="73">
        <v>-0.18181818181818177</v>
      </c>
      <c r="AY401" s="73">
        <v>-6.0606060606060552E-2</v>
      </c>
      <c r="AZ401" s="24">
        <v>1.6000000000000014E-2</v>
      </c>
      <c r="BA401" s="73">
        <v>-0.33333333333333337</v>
      </c>
      <c r="BB401" s="73">
        <v>-0.39393939393939392</v>
      </c>
      <c r="BC401" s="73">
        <v>-0.2592592592592593</v>
      </c>
      <c r="BD401" s="73">
        <v>-0.58064516129032251</v>
      </c>
      <c r="BE401" s="24">
        <v>-0.39370078740157477</v>
      </c>
    </row>
    <row r="402" spans="1:57" s="36" customFormat="1">
      <c r="A402" s="69" t="s">
        <v>260</v>
      </c>
      <c r="B402" s="37">
        <f>B385+B396</f>
        <v>290.178</v>
      </c>
      <c r="C402" s="77">
        <f>C385+C396</f>
        <v>74.8</v>
      </c>
      <c r="D402" s="77">
        <f>D385+D396</f>
        <v>82.878999999999991</v>
      </c>
      <c r="E402" s="77">
        <f>E385+E396</f>
        <v>79</v>
      </c>
      <c r="F402" s="70">
        <f>G402-E402-D402-C402</f>
        <v>84.921000000000035</v>
      </c>
      <c r="G402" s="37">
        <f>G385+G396</f>
        <v>321.60000000000002</v>
      </c>
      <c r="H402" s="77">
        <f>H385+H396</f>
        <v>79.771000000000001</v>
      </c>
      <c r="I402" s="77">
        <f>I385+I396</f>
        <v>88.27000000000001</v>
      </c>
      <c r="J402" s="77">
        <f>J385+J396</f>
        <v>87.765000000000001</v>
      </c>
      <c r="K402" s="70">
        <f>L402-J402-I402-H402</f>
        <v>89.240000000000052</v>
      </c>
      <c r="L402" s="37">
        <f>L385+L396</f>
        <v>345.04600000000005</v>
      </c>
      <c r="M402" s="77">
        <f>M385+M396</f>
        <v>84.132999999999996</v>
      </c>
      <c r="N402" s="77">
        <f>N385+N396</f>
        <v>146.69499999999999</v>
      </c>
      <c r="O402" s="77">
        <f>O385+O396</f>
        <v>93.061999999999998</v>
      </c>
      <c r="P402" s="70">
        <v>90</v>
      </c>
      <c r="Q402" s="37">
        <f>Q385+Q396</f>
        <v>414.12200000000001</v>
      </c>
      <c r="R402" s="77">
        <f>R385+R396</f>
        <v>85.12</v>
      </c>
      <c r="S402" s="77">
        <f>S385+S396</f>
        <v>86.72399999999999</v>
      </c>
      <c r="T402" s="77">
        <f>T385+T396</f>
        <v>89.338999999999999</v>
      </c>
      <c r="U402" s="70">
        <f>V402-T402-S402-R402</f>
        <v>88.837999999999965</v>
      </c>
      <c r="V402" s="37">
        <f>V385+V396</f>
        <v>350.02099999999996</v>
      </c>
      <c r="W402" s="77">
        <f>W385+W396</f>
        <v>83.932999999999993</v>
      </c>
      <c r="X402" s="77">
        <f>X385+X396</f>
        <v>87.402999999999992</v>
      </c>
      <c r="Y402" s="77">
        <f>Y385+Y396</f>
        <v>89.403999999999996</v>
      </c>
      <c r="Z402" s="70">
        <f>AA402-Y402-X402-W402</f>
        <v>94.693000000000012</v>
      </c>
      <c r="AA402" s="37">
        <f>AA385+AA396</f>
        <v>355.43299999999999</v>
      </c>
      <c r="AB402" s="77">
        <f>AB385+AB396</f>
        <v>87.241</v>
      </c>
      <c r="AC402" s="77">
        <f>AC385+AC396</f>
        <v>92.757000000000005</v>
      </c>
      <c r="AD402" s="77">
        <f>AD385+AD396</f>
        <v>87.835000000000008</v>
      </c>
      <c r="AE402" s="70">
        <f>AF402-AD402-AC402-AB402</f>
        <v>89.63499999999992</v>
      </c>
      <c r="AF402" s="37">
        <v>357.46799999999996</v>
      </c>
      <c r="AG402" s="77">
        <v>90</v>
      </c>
      <c r="AH402" s="77">
        <v>90</v>
      </c>
      <c r="AI402" s="77">
        <v>91</v>
      </c>
      <c r="AJ402" s="70">
        <v>91</v>
      </c>
      <c r="AK402" s="37">
        <v>362</v>
      </c>
      <c r="AL402" s="77">
        <v>93</v>
      </c>
      <c r="AM402" s="77">
        <v>94</v>
      </c>
      <c r="AN402" s="77">
        <v>92</v>
      </c>
      <c r="AO402" s="70">
        <v>93</v>
      </c>
      <c r="AP402" s="37">
        <v>372</v>
      </c>
      <c r="AQ402" s="77">
        <v>70</v>
      </c>
      <c r="AR402" s="77">
        <v>82</v>
      </c>
      <c r="AS402" s="77">
        <v>80</v>
      </c>
      <c r="AT402" s="70">
        <v>81</v>
      </c>
      <c r="AU402" s="37">
        <v>313</v>
      </c>
      <c r="AV402" s="77">
        <v>82</v>
      </c>
      <c r="AW402" s="77">
        <v>78</v>
      </c>
      <c r="AX402" s="77">
        <v>73</v>
      </c>
      <c r="AY402" s="70">
        <v>76</v>
      </c>
      <c r="AZ402" s="37">
        <v>309</v>
      </c>
      <c r="BA402" s="77">
        <v>77</v>
      </c>
      <c r="BB402" s="77">
        <v>75</v>
      </c>
      <c r="BC402" s="77">
        <v>77</v>
      </c>
      <c r="BD402" s="151">
        <v>81</v>
      </c>
      <c r="BE402" s="37">
        <v>310</v>
      </c>
    </row>
    <row r="403" spans="1:57">
      <c r="A403" s="71" t="s">
        <v>7</v>
      </c>
      <c r="B403" s="24"/>
      <c r="C403" s="72"/>
      <c r="D403" s="72">
        <f>D402/C402-1</f>
        <v>0.10800802139037424</v>
      </c>
      <c r="E403" s="72">
        <f>E402/D402-1</f>
        <v>-4.6803170887679491E-2</v>
      </c>
      <c r="F403" s="72">
        <f>F402/E402-1</f>
        <v>7.494936708860811E-2</v>
      </c>
      <c r="G403" s="24"/>
      <c r="H403" s="72">
        <f>H402/F402-1</f>
        <v>-6.0644599097985585E-2</v>
      </c>
      <c r="I403" s="72">
        <f>I402/H402-1</f>
        <v>0.10654247784282522</v>
      </c>
      <c r="J403" s="72">
        <f>J402/I402-1</f>
        <v>-5.7210830406707602E-3</v>
      </c>
      <c r="K403" s="72">
        <f>K402/J402-1</f>
        <v>1.6806243946904331E-2</v>
      </c>
      <c r="L403" s="24"/>
      <c r="M403" s="72">
        <f>M402/K402-1</f>
        <v>-5.7227700582698993E-2</v>
      </c>
      <c r="N403" s="72">
        <f>N402/M402-1</f>
        <v>0.7436083344228781</v>
      </c>
      <c r="O403" s="72">
        <f>O402/N402-1</f>
        <v>-0.36560891645932037</v>
      </c>
      <c r="P403" s="72">
        <f>P402/O402-1</f>
        <v>-3.2902795985472078E-2</v>
      </c>
      <c r="Q403" s="24"/>
      <c r="R403" s="72">
        <f>R402/P402-1</f>
        <v>-5.4222222222222172E-2</v>
      </c>
      <c r="S403" s="72">
        <f>S402/R402-1</f>
        <v>1.8843984962405802E-2</v>
      </c>
      <c r="T403" s="72">
        <f>T402/S402-1</f>
        <v>3.0153129468198037E-2</v>
      </c>
      <c r="U403" s="72">
        <f>U402/T402-1</f>
        <v>-5.607853233190796E-3</v>
      </c>
      <c r="V403" s="24"/>
      <c r="W403" s="72">
        <f>W402/U402-1</f>
        <v>-5.5212859361984501E-2</v>
      </c>
      <c r="X403" s="72">
        <f>X402/W402-1</f>
        <v>4.1342499374501074E-2</v>
      </c>
      <c r="Y403" s="72">
        <f>Y402/X402-1</f>
        <v>2.2893951008546631E-2</v>
      </c>
      <c r="Z403" s="72">
        <v>5.9158426916021911E-2</v>
      </c>
      <c r="AA403" s="24"/>
      <c r="AB403" s="72">
        <f>AB402/Z402-1</f>
        <v>-7.8696418953882685E-2</v>
      </c>
      <c r="AC403" s="72">
        <f>AC402/AB402-1</f>
        <v>6.3227152371018169E-2</v>
      </c>
      <c r="AD403" s="72">
        <f>AD402/AC402-1</f>
        <v>-5.3063380661297788E-2</v>
      </c>
      <c r="AE403" s="72">
        <f>AE402/AD402-1</f>
        <v>2.049296977286863E-2</v>
      </c>
      <c r="AF403" s="24"/>
      <c r="AG403" s="72">
        <v>4.0720700619185646E-3</v>
      </c>
      <c r="AH403" s="72">
        <v>0</v>
      </c>
      <c r="AI403" s="72">
        <v>1.1111111111111072E-2</v>
      </c>
      <c r="AJ403" s="72">
        <v>0</v>
      </c>
      <c r="AK403" s="24"/>
      <c r="AL403" s="72">
        <v>2.19780219780219E-2</v>
      </c>
      <c r="AM403" s="72">
        <v>1.0752688172043001E-2</v>
      </c>
      <c r="AN403" s="72">
        <v>-2.1276595744680882E-2</v>
      </c>
      <c r="AO403" s="72">
        <v>1.0869565217391353E-2</v>
      </c>
      <c r="AP403" s="24"/>
      <c r="AQ403" s="72">
        <v>-0.24731182795698925</v>
      </c>
      <c r="AR403" s="72">
        <v>0.17142857142857149</v>
      </c>
      <c r="AS403" s="72">
        <v>-2.4390243902439046E-2</v>
      </c>
      <c r="AT403" s="72">
        <v>1.2499999999999956E-2</v>
      </c>
      <c r="AU403" s="24"/>
      <c r="AV403" s="72">
        <v>1.2345679012345734E-2</v>
      </c>
      <c r="AW403" s="72">
        <v>-4.8780487804878092E-2</v>
      </c>
      <c r="AX403" s="72">
        <v>-6.4102564102564097E-2</v>
      </c>
      <c r="AY403" s="72">
        <v>4.1095890410958846E-2</v>
      </c>
      <c r="AZ403" s="24"/>
      <c r="BA403" s="72">
        <v>1.3157894736842035E-2</v>
      </c>
      <c r="BB403" s="72">
        <v>-2.5974025974025983E-2</v>
      </c>
      <c r="BC403" s="72">
        <v>2.6666666666666616E-2</v>
      </c>
      <c r="BD403" s="72">
        <v>5.1948051948051965E-2</v>
      </c>
      <c r="BE403" s="24"/>
    </row>
    <row r="404" spans="1:57">
      <c r="A404" s="71" t="s">
        <v>8</v>
      </c>
      <c r="B404" s="24"/>
      <c r="C404" s="73"/>
      <c r="D404" s="73"/>
      <c r="E404" s="73"/>
      <c r="F404" s="73"/>
      <c r="G404" s="24">
        <f t="shared" ref="G404:N404" si="283">G402/B402-1</f>
        <v>0.10828525939251099</v>
      </c>
      <c r="H404" s="73">
        <f t="shared" si="283"/>
        <v>6.6457219251336852E-2</v>
      </c>
      <c r="I404" s="73">
        <f t="shared" si="283"/>
        <v>6.5046634249930957E-2</v>
      </c>
      <c r="J404" s="73">
        <f t="shared" si="283"/>
        <v>0.1109493670886077</v>
      </c>
      <c r="K404" s="73">
        <f t="shared" si="283"/>
        <v>5.085903369013578E-2</v>
      </c>
      <c r="L404" s="24">
        <f t="shared" si="283"/>
        <v>7.2904228855721565E-2</v>
      </c>
      <c r="M404" s="73">
        <f t="shared" si="283"/>
        <v>5.4681525867796399E-2</v>
      </c>
      <c r="N404" s="73">
        <f t="shared" si="283"/>
        <v>0.66188965673501721</v>
      </c>
      <c r="O404" s="73">
        <f>O402/J402-1</f>
        <v>6.0354355380846547E-2</v>
      </c>
      <c r="P404" s="73">
        <v>0.01</v>
      </c>
      <c r="Q404" s="24">
        <f t="shared" ref="Q404:Y404" si="284">Q402/L402-1</f>
        <v>0.20019359737542231</v>
      </c>
      <c r="R404" s="73">
        <f t="shared" si="284"/>
        <v>1.1731425243364679E-2</v>
      </c>
      <c r="S404" s="73">
        <f t="shared" si="284"/>
        <v>-0.40881420634650134</v>
      </c>
      <c r="T404" s="73">
        <f t="shared" si="284"/>
        <v>-4.0005587672734322E-2</v>
      </c>
      <c r="U404" s="73">
        <f t="shared" si="284"/>
        <v>-1.291111111111154E-2</v>
      </c>
      <c r="V404" s="24">
        <f t="shared" si="284"/>
        <v>-0.15478771956090243</v>
      </c>
      <c r="W404" s="73">
        <f t="shared" si="284"/>
        <v>-1.3945018796992614E-2</v>
      </c>
      <c r="X404" s="73">
        <f t="shared" si="284"/>
        <v>7.829435911627769E-3</v>
      </c>
      <c r="Y404" s="73">
        <f t="shared" si="284"/>
        <v>7.2756578873733879E-4</v>
      </c>
      <c r="Z404" s="73">
        <v>6.5906481460636712E-2</v>
      </c>
      <c r="AA404" s="24">
        <f t="shared" ref="AA404:AE404" si="285">AA402/V402-1</f>
        <v>1.5461929427091681E-2</v>
      </c>
      <c r="AB404" s="73">
        <f t="shared" si="285"/>
        <v>3.9412388452694458E-2</v>
      </c>
      <c r="AC404" s="73">
        <f t="shared" si="285"/>
        <v>6.1256478610574261E-2</v>
      </c>
      <c r="AD404" s="73">
        <f t="shared" si="285"/>
        <v>-1.7549550355688615E-2</v>
      </c>
      <c r="AE404" s="73">
        <f t="shared" si="285"/>
        <v>-5.3414719145027489E-2</v>
      </c>
      <c r="AF404" s="24">
        <v>5.725410977596157E-3</v>
      </c>
      <c r="AG404" s="73">
        <v>3.1625038685938911E-2</v>
      </c>
      <c r="AH404" s="73">
        <v>-2.9722824153433192E-2</v>
      </c>
      <c r="AI404" s="73">
        <v>3.6033471850628995E-2</v>
      </c>
      <c r="AJ404" s="73">
        <v>1.5228426395939909E-2</v>
      </c>
      <c r="AK404" s="24">
        <v>1.2678057896091444E-2</v>
      </c>
      <c r="AL404" s="73">
        <v>3.3333333333333437E-2</v>
      </c>
      <c r="AM404" s="73">
        <v>4.4444444444444509E-2</v>
      </c>
      <c r="AN404" s="73">
        <v>1.098901098901095E-2</v>
      </c>
      <c r="AO404" s="73">
        <v>2.19780219780219E-2</v>
      </c>
      <c r="AP404" s="24">
        <v>2.7624309392265234E-2</v>
      </c>
      <c r="AQ404" s="73">
        <v>-0.24731182795698925</v>
      </c>
      <c r="AR404" s="73">
        <v>-0.12765957446808507</v>
      </c>
      <c r="AS404" s="73">
        <v>-0.13043478260869568</v>
      </c>
      <c r="AT404" s="73">
        <v>-0.12903225806451613</v>
      </c>
      <c r="AU404" s="24">
        <v>-0.15860215053763438</v>
      </c>
      <c r="AV404" s="73">
        <v>0.17142857142857149</v>
      </c>
      <c r="AW404" s="73">
        <v>-4.8780487804878092E-2</v>
      </c>
      <c r="AX404" s="73">
        <v>-8.7500000000000022E-2</v>
      </c>
      <c r="AY404" s="73">
        <v>-6.1728395061728447E-2</v>
      </c>
      <c r="AZ404" s="24">
        <v>-1.2779552715655007E-2</v>
      </c>
      <c r="BA404" s="73">
        <v>-6.0975609756097615E-2</v>
      </c>
      <c r="BB404" s="73">
        <v>-3.8461538461538436E-2</v>
      </c>
      <c r="BC404" s="73">
        <v>5.4794520547945202E-2</v>
      </c>
      <c r="BD404" s="73">
        <v>6.578947368421062E-2</v>
      </c>
      <c r="BE404" s="24">
        <v>3.2362459546926292E-3</v>
      </c>
    </row>
    <row r="405" spans="1:57">
      <c r="A405" s="69" t="s">
        <v>262</v>
      </c>
      <c r="B405" s="24"/>
      <c r="C405" s="73"/>
      <c r="D405" s="73"/>
      <c r="E405" s="73"/>
      <c r="F405" s="73"/>
      <c r="G405" s="24"/>
      <c r="H405" s="73"/>
      <c r="I405" s="73"/>
      <c r="J405" s="73"/>
      <c r="K405" s="73"/>
      <c r="L405" s="24"/>
      <c r="M405" s="73"/>
      <c r="N405" s="73"/>
      <c r="O405" s="73"/>
      <c r="P405" s="73"/>
      <c r="Q405" s="24"/>
      <c r="R405" s="73"/>
      <c r="S405" s="73"/>
      <c r="T405" s="73"/>
      <c r="U405" s="73"/>
      <c r="V405" s="24"/>
      <c r="W405" s="73"/>
      <c r="X405" s="73"/>
      <c r="Y405" s="73"/>
      <c r="Z405" s="73"/>
      <c r="AA405" s="24"/>
      <c r="AB405" s="73"/>
      <c r="AC405" s="73"/>
      <c r="AD405" s="73"/>
      <c r="AE405" s="73"/>
      <c r="AF405" s="24"/>
      <c r="AG405" s="73"/>
      <c r="AH405" s="73"/>
      <c r="AI405" s="73"/>
      <c r="AJ405" s="73"/>
      <c r="AK405" s="24"/>
      <c r="AL405" s="73"/>
      <c r="AM405" s="73"/>
      <c r="AN405" s="73"/>
      <c r="AO405" s="73"/>
      <c r="AP405" s="24"/>
      <c r="AQ405" s="73"/>
      <c r="AR405" s="73"/>
      <c r="AS405" s="73"/>
      <c r="AT405" s="73"/>
      <c r="AU405" s="24"/>
      <c r="AV405" s="73"/>
      <c r="AW405" s="73"/>
      <c r="AX405" s="73"/>
      <c r="AY405" s="73"/>
      <c r="AZ405" s="24"/>
      <c r="BA405" s="77">
        <v>68</v>
      </c>
      <c r="BB405" s="77">
        <v>66</v>
      </c>
      <c r="BC405" s="77">
        <v>68</v>
      </c>
      <c r="BD405" s="151">
        <v>72</v>
      </c>
      <c r="BE405" s="37">
        <v>274</v>
      </c>
    </row>
    <row r="406" spans="1:57">
      <c r="A406" s="69"/>
      <c r="B406" s="24"/>
      <c r="C406" s="73"/>
      <c r="D406" s="73"/>
      <c r="E406" s="73"/>
      <c r="F406" s="73"/>
      <c r="G406" s="24"/>
      <c r="H406" s="73"/>
      <c r="I406" s="73"/>
      <c r="J406" s="73"/>
      <c r="K406" s="73"/>
      <c r="L406" s="24"/>
      <c r="M406" s="73"/>
      <c r="N406" s="73"/>
      <c r="O406" s="73"/>
      <c r="P406" s="73"/>
      <c r="Q406" s="24"/>
      <c r="R406" s="73"/>
      <c r="S406" s="73"/>
      <c r="T406" s="73"/>
      <c r="U406" s="73"/>
      <c r="V406" s="24"/>
      <c r="W406" s="73"/>
      <c r="X406" s="73"/>
      <c r="Y406" s="73"/>
      <c r="Z406" s="73"/>
      <c r="AA406" s="24"/>
      <c r="AB406" s="73"/>
      <c r="AC406" s="73"/>
      <c r="AD406" s="73"/>
      <c r="AE406" s="73"/>
      <c r="AF406" s="24"/>
      <c r="AG406" s="73"/>
      <c r="AH406" s="73"/>
      <c r="AI406" s="73"/>
      <c r="AJ406" s="73"/>
      <c r="AK406" s="24"/>
      <c r="AL406" s="73"/>
      <c r="AM406" s="73"/>
      <c r="AN406" s="73"/>
      <c r="AO406" s="73"/>
      <c r="AP406" s="24"/>
      <c r="AQ406" s="73"/>
      <c r="AR406" s="73"/>
      <c r="AS406" s="73"/>
      <c r="AT406" s="73"/>
      <c r="AU406" s="24"/>
      <c r="AV406" s="73"/>
      <c r="AW406" s="73"/>
      <c r="AX406" s="73"/>
      <c r="AY406" s="73"/>
      <c r="AZ406" s="24"/>
      <c r="BA406" s="73"/>
      <c r="BB406" s="73"/>
      <c r="BC406" s="73"/>
      <c r="BD406" s="73"/>
      <c r="BE406" s="24"/>
    </row>
    <row r="407" spans="1:57">
      <c r="A407" s="40" t="s">
        <v>77</v>
      </c>
      <c r="B407" s="41"/>
      <c r="C407" s="49"/>
      <c r="D407" s="49"/>
      <c r="E407" s="49"/>
      <c r="F407" s="49"/>
      <c r="G407" s="41"/>
      <c r="H407" s="49"/>
      <c r="I407" s="49"/>
      <c r="J407" s="49"/>
      <c r="K407" s="49"/>
      <c r="L407" s="41"/>
      <c r="M407" s="49"/>
      <c r="N407" s="49"/>
      <c r="O407" s="49"/>
      <c r="P407" s="49"/>
      <c r="Q407" s="41"/>
      <c r="R407" s="49"/>
      <c r="S407" s="49"/>
      <c r="T407" s="49"/>
      <c r="U407" s="49"/>
      <c r="V407" s="41"/>
      <c r="W407" s="49"/>
      <c r="X407" s="49"/>
      <c r="Y407" s="49"/>
      <c r="Z407" s="49"/>
      <c r="AA407" s="41"/>
      <c r="AB407" s="49"/>
      <c r="AC407" s="49"/>
      <c r="AD407" s="49"/>
      <c r="AE407" s="49"/>
      <c r="AF407" s="41"/>
      <c r="AG407" s="49"/>
      <c r="AH407" s="49"/>
      <c r="AI407" s="49"/>
      <c r="AJ407" s="49"/>
      <c r="AK407" s="41"/>
      <c r="AL407" s="49"/>
      <c r="AM407" s="49"/>
      <c r="AN407" s="49"/>
      <c r="AO407" s="49"/>
      <c r="AP407" s="41"/>
      <c r="AQ407" s="49"/>
      <c r="AR407" s="49"/>
      <c r="AS407" s="49"/>
      <c r="AT407" s="49"/>
      <c r="AU407" s="41"/>
      <c r="AV407" s="49"/>
      <c r="AW407" s="49"/>
      <c r="AX407" s="49"/>
      <c r="AY407" s="49"/>
      <c r="AZ407" s="41"/>
      <c r="BA407" s="49"/>
      <c r="BB407" s="49"/>
      <c r="BC407" s="49"/>
      <c r="BD407" s="49"/>
      <c r="BE407" s="41"/>
    </row>
    <row r="408" spans="1:57" s="36" customFormat="1">
      <c r="A408" s="69" t="s">
        <v>12</v>
      </c>
      <c r="B408" s="37">
        <v>92.694000000000003</v>
      </c>
      <c r="C408" s="70">
        <v>7.5179999999999998</v>
      </c>
      <c r="D408" s="70">
        <v>50.93</v>
      </c>
      <c r="E408" s="70">
        <v>31.88</v>
      </c>
      <c r="F408" s="70">
        <f>G408-E408-D408-C408</f>
        <v>73.117999999999995</v>
      </c>
      <c r="G408" s="37">
        <v>163.446</v>
      </c>
      <c r="H408" s="70">
        <f>83.509</f>
        <v>83.509</v>
      </c>
      <c r="I408" s="70">
        <v>82.688000000000002</v>
      </c>
      <c r="J408" s="70">
        <v>81.460999999999999</v>
      </c>
      <c r="K408" s="70">
        <f>L408-J408-I408-H408</f>
        <v>71.909000000000006</v>
      </c>
      <c r="L408" s="37">
        <f>319.858-0.291</f>
        <v>319.56700000000001</v>
      </c>
      <c r="M408" s="70">
        <f>59.48</f>
        <v>59.48</v>
      </c>
      <c r="N408" s="70">
        <f>125.337-59.48</f>
        <v>65.856999999999999</v>
      </c>
      <c r="O408" s="70">
        <v>74.631</v>
      </c>
      <c r="P408" s="70">
        <f>Q408-O408-N408-M408</f>
        <v>90.108000000000033</v>
      </c>
      <c r="Q408" s="37">
        <f>291.87-1.794</f>
        <v>290.07600000000002</v>
      </c>
      <c r="R408" s="70">
        <f>42.049-0.051</f>
        <v>41.997999999999998</v>
      </c>
      <c r="S408" s="70">
        <f>68.191-0.075</f>
        <v>68.116</v>
      </c>
      <c r="T408" s="70">
        <f>57.303+0.147</f>
        <v>57.449999999999996</v>
      </c>
      <c r="U408" s="70">
        <f>V408-T408-S408-R408</f>
        <v>75.928000000000026</v>
      </c>
      <c r="V408" s="37">
        <f>242.86+0.632</f>
        <v>243.49200000000002</v>
      </c>
      <c r="W408" s="70">
        <f>58.496-0.079</f>
        <v>58.417000000000002</v>
      </c>
      <c r="X408" s="70">
        <f>63.904+0.307</f>
        <v>64.210999999999999</v>
      </c>
      <c r="Y408" s="70">
        <f>63.132+0.004</f>
        <v>63.135999999999996</v>
      </c>
      <c r="Z408" s="70">
        <f>AA408-Y408-X408-W408</f>
        <v>86.321999999999974</v>
      </c>
      <c r="AA408" s="37">
        <f>271.953+0.133</f>
        <v>272.08599999999996</v>
      </c>
      <c r="AB408" s="70">
        <f>58.59-0.278</f>
        <v>58.312000000000005</v>
      </c>
      <c r="AC408" s="70">
        <f>81.111+0.088</f>
        <v>81.198999999999998</v>
      </c>
      <c r="AD408" s="70">
        <f>71.669-0.179</f>
        <v>71.489999999999995</v>
      </c>
      <c r="AE408" s="70">
        <f>AF408-AD408-AC408-AB408</f>
        <v>76.723999999999933</v>
      </c>
      <c r="AF408" s="37">
        <v>287.72499999999997</v>
      </c>
      <c r="AG408" s="70">
        <v>74</v>
      </c>
      <c r="AH408" s="70">
        <v>95</v>
      </c>
      <c r="AI408" s="70">
        <v>71</v>
      </c>
      <c r="AJ408" s="70">
        <v>72</v>
      </c>
      <c r="AK408" s="37">
        <v>312</v>
      </c>
      <c r="AL408" s="70">
        <v>62</v>
      </c>
      <c r="AM408" s="70">
        <v>74</v>
      </c>
      <c r="AN408" s="70">
        <v>69</v>
      </c>
      <c r="AO408" s="70">
        <v>96</v>
      </c>
      <c r="AP408" s="37">
        <v>301</v>
      </c>
      <c r="AQ408" s="70">
        <v>49</v>
      </c>
      <c r="AR408" s="70">
        <v>69</v>
      </c>
      <c r="AS408" s="70">
        <v>65</v>
      </c>
      <c r="AT408" s="70">
        <v>86</v>
      </c>
      <c r="AU408" s="37">
        <v>269</v>
      </c>
      <c r="AV408" s="70">
        <v>52</v>
      </c>
      <c r="AW408" s="70">
        <v>69</v>
      </c>
      <c r="AX408" s="70">
        <v>74</v>
      </c>
      <c r="AY408" s="70">
        <v>82</v>
      </c>
      <c r="AZ408" s="37">
        <v>277</v>
      </c>
      <c r="BA408" s="70">
        <v>67</v>
      </c>
      <c r="BB408" s="70">
        <v>54</v>
      </c>
      <c r="BC408" s="70">
        <v>73</v>
      </c>
      <c r="BD408" s="151">
        <v>106</v>
      </c>
      <c r="BE408" s="37">
        <v>300</v>
      </c>
    </row>
    <row r="409" spans="1:57">
      <c r="A409" s="82" t="s">
        <v>7</v>
      </c>
      <c r="B409" s="24"/>
      <c r="C409" s="72"/>
      <c r="D409" s="72">
        <f>D408/C408-1</f>
        <v>5.7744080872572496</v>
      </c>
      <c r="E409" s="72">
        <f>E408/D408-1</f>
        <v>-0.37404280384841937</v>
      </c>
      <c r="F409" s="72">
        <f>F408/E408-1</f>
        <v>1.293538268506901</v>
      </c>
      <c r="G409" s="24"/>
      <c r="H409" s="72">
        <f>H408/F408-1</f>
        <v>0.14211274925462969</v>
      </c>
      <c r="I409" s="72">
        <f>I408/H408-1</f>
        <v>-9.8312756708857085E-3</v>
      </c>
      <c r="J409" s="72">
        <f>J408/I408-1</f>
        <v>-1.4838912538699733E-2</v>
      </c>
      <c r="K409" s="72">
        <f>K408/J408-1</f>
        <v>-0.11725856544849678</v>
      </c>
      <c r="L409" s="24"/>
      <c r="M409" s="72">
        <f>M408/K408-1</f>
        <v>-0.17284345492219344</v>
      </c>
      <c r="N409" s="72">
        <f>N408/M408-1</f>
        <v>0.10721250840618701</v>
      </c>
      <c r="O409" s="72">
        <f>O408/N408-1</f>
        <v>0.13322805472463073</v>
      </c>
      <c r="P409" s="72">
        <f>P408/O408-1</f>
        <v>0.20738031113076372</v>
      </c>
      <c r="Q409" s="24"/>
      <c r="R409" s="72">
        <f>R408/P408-1</f>
        <v>-0.53391485772628422</v>
      </c>
      <c r="S409" s="72">
        <f>S408/R408-1</f>
        <v>0.62188675651221503</v>
      </c>
      <c r="T409" s="72">
        <f>T408/S408-1</f>
        <v>-0.1565858241822774</v>
      </c>
      <c r="U409" s="72">
        <f>U408/T408-1</f>
        <v>0.32163620539599713</v>
      </c>
      <c r="V409" s="24"/>
      <c r="W409" s="72">
        <f>W408/U408-1</f>
        <v>-0.23062638288905302</v>
      </c>
      <c r="X409" s="72">
        <f>X408/W408-1</f>
        <v>9.9183456870431508E-2</v>
      </c>
      <c r="Y409" s="72">
        <f>Y408/X408-1</f>
        <v>-1.6741679774493479E-2</v>
      </c>
      <c r="Z409" s="72">
        <v>0.36723897617840828</v>
      </c>
      <c r="AA409" s="24"/>
      <c r="AB409" s="72">
        <f>AB408/Z408-1</f>
        <v>-0.32448275063135679</v>
      </c>
      <c r="AC409" s="72">
        <f>AC408/AB408-1</f>
        <v>0.3924921114007407</v>
      </c>
      <c r="AD409" s="72">
        <f>AD408/AC408-1</f>
        <v>-0.11957043805958201</v>
      </c>
      <c r="AE409" s="72">
        <f>AE408/AD408-1</f>
        <v>7.3213036788361219E-2</v>
      </c>
      <c r="AF409" s="24"/>
      <c r="AG409" s="72">
        <v>-3.5503884051925505E-2</v>
      </c>
      <c r="AH409" s="72">
        <v>0.28378378378378377</v>
      </c>
      <c r="AI409" s="72">
        <v>-0.25263157894736843</v>
      </c>
      <c r="AJ409" s="72">
        <v>1.4084507042253502E-2</v>
      </c>
      <c r="AK409" s="24"/>
      <c r="AL409" s="72">
        <v>-0.13888888888888884</v>
      </c>
      <c r="AM409" s="72">
        <v>0.19354838709677424</v>
      </c>
      <c r="AN409" s="72">
        <v>-6.7567567567567544E-2</v>
      </c>
      <c r="AO409" s="72">
        <v>0.39130434782608692</v>
      </c>
      <c r="AP409" s="24"/>
      <c r="AQ409" s="72">
        <v>-0.48958333333333337</v>
      </c>
      <c r="AR409" s="72">
        <v>0.40816326530612246</v>
      </c>
      <c r="AS409" s="72">
        <v>-5.7971014492753659E-2</v>
      </c>
      <c r="AT409" s="72">
        <v>0.32307692307692304</v>
      </c>
      <c r="AU409" s="24"/>
      <c r="AV409" s="72">
        <v>-0.39534883720930236</v>
      </c>
      <c r="AW409" s="72">
        <v>0.32692307692307687</v>
      </c>
      <c r="AX409" s="72">
        <v>7.2463768115942129E-2</v>
      </c>
      <c r="AY409" s="72">
        <v>0.10810810810810811</v>
      </c>
      <c r="AZ409" s="24"/>
      <c r="BA409" s="72">
        <v>-0.18292682926829273</v>
      </c>
      <c r="BB409" s="72">
        <v>-0.19402985074626866</v>
      </c>
      <c r="BC409" s="72">
        <v>0.35185185185185186</v>
      </c>
      <c r="BD409" s="72">
        <v>0.45205479452054798</v>
      </c>
      <c r="BE409" s="24"/>
    </row>
    <row r="410" spans="1:57">
      <c r="A410" s="84" t="s">
        <v>8</v>
      </c>
      <c r="B410" s="24"/>
      <c r="C410" s="73"/>
      <c r="D410" s="73"/>
      <c r="E410" s="73"/>
      <c r="F410" s="73"/>
      <c r="G410" s="24">
        <f t="shared" ref="G410:N410" si="286">G408/B408-1</f>
        <v>0.76328564955660561</v>
      </c>
      <c r="H410" s="73">
        <f t="shared" si="286"/>
        <v>10.107874434690077</v>
      </c>
      <c r="I410" s="73">
        <f t="shared" si="286"/>
        <v>0.62356175142352255</v>
      </c>
      <c r="J410" s="73">
        <f t="shared" si="286"/>
        <v>1.5552383939774153</v>
      </c>
      <c r="K410" s="73">
        <f t="shared" si="286"/>
        <v>-1.6534916162914581E-2</v>
      </c>
      <c r="L410" s="24">
        <f t="shared" si="286"/>
        <v>0.95518397513551889</v>
      </c>
      <c r="M410" s="73">
        <f t="shared" si="286"/>
        <v>-0.28774144104228294</v>
      </c>
      <c r="N410" s="73">
        <f t="shared" si="286"/>
        <v>-0.20354827786377716</v>
      </c>
      <c r="O410" s="73">
        <f t="shared" ref="O410:Y410" si="287">O408/J408-1</f>
        <v>-8.3843802555824243E-2</v>
      </c>
      <c r="P410" s="73">
        <f t="shared" si="287"/>
        <v>0.2530837586393917</v>
      </c>
      <c r="Q410" s="24">
        <f t="shared" si="287"/>
        <v>-9.2284247121886764E-2</v>
      </c>
      <c r="R410" s="73">
        <f t="shared" si="287"/>
        <v>-0.29391392064559518</v>
      </c>
      <c r="S410" s="73">
        <f t="shared" si="287"/>
        <v>3.4301592845103812E-2</v>
      </c>
      <c r="T410" s="73">
        <f t="shared" si="287"/>
        <v>-0.23021264621939952</v>
      </c>
      <c r="U410" s="73">
        <f t="shared" si="287"/>
        <v>-0.15736671549695924</v>
      </c>
      <c r="V410" s="24">
        <f t="shared" si="287"/>
        <v>-0.16059239647540646</v>
      </c>
      <c r="W410" s="73">
        <f t="shared" si="287"/>
        <v>0.39094718796133154</v>
      </c>
      <c r="X410" s="73">
        <f t="shared" si="287"/>
        <v>-5.7328674613894015E-2</v>
      </c>
      <c r="Y410" s="73">
        <f t="shared" si="287"/>
        <v>9.8973020017406377E-2</v>
      </c>
      <c r="Z410" s="73">
        <v>0.13689284585396622</v>
      </c>
      <c r="AA410" s="24">
        <f t="shared" ref="AA410:AE410" si="288">AA408/V408-1</f>
        <v>0.11743301627979541</v>
      </c>
      <c r="AB410" s="73">
        <f t="shared" si="288"/>
        <v>-1.7974219833266636E-3</v>
      </c>
      <c r="AC410" s="73">
        <f t="shared" si="288"/>
        <v>0.2645652614038092</v>
      </c>
      <c r="AD410" s="73">
        <f t="shared" si="288"/>
        <v>0.13231753674607205</v>
      </c>
      <c r="AE410" s="73">
        <f t="shared" si="288"/>
        <v>-0.11118834132666111</v>
      </c>
      <c r="AF410" s="24">
        <v>5.7478150290716901E-2</v>
      </c>
      <c r="AG410" s="73">
        <v>0.26903553299492367</v>
      </c>
      <c r="AH410" s="73">
        <v>0.16996514735403156</v>
      </c>
      <c r="AI410" s="73">
        <v>-6.8541054692963232E-3</v>
      </c>
      <c r="AJ410" s="73">
        <v>-6.1571346645116765E-2</v>
      </c>
      <c r="AK410" s="24">
        <v>8.4368754887479414E-2</v>
      </c>
      <c r="AL410" s="73">
        <v>-0.16216216216216217</v>
      </c>
      <c r="AM410" s="73">
        <v>-0.22105263157894739</v>
      </c>
      <c r="AN410" s="73">
        <v>-2.8169014084507005E-2</v>
      </c>
      <c r="AO410" s="73">
        <v>0.33333333333333326</v>
      </c>
      <c r="AP410" s="24">
        <v>-3.5256410256410242E-2</v>
      </c>
      <c r="AQ410" s="73">
        <v>-0.20967741935483875</v>
      </c>
      <c r="AR410" s="73">
        <v>-6.7567567567567544E-2</v>
      </c>
      <c r="AS410" s="73">
        <v>-5.7971014492753659E-2</v>
      </c>
      <c r="AT410" s="73">
        <v>-0.10416666666666663</v>
      </c>
      <c r="AU410" s="24">
        <v>-0.10631229235880402</v>
      </c>
      <c r="AV410" s="73">
        <v>6.1224489795918435E-2</v>
      </c>
      <c r="AW410" s="73">
        <v>0</v>
      </c>
      <c r="AX410" s="73">
        <v>0.13846153846153841</v>
      </c>
      <c r="AY410" s="73">
        <v>-4.6511627906976716E-2</v>
      </c>
      <c r="AZ410" s="24">
        <v>2.9739776951672958E-2</v>
      </c>
      <c r="BA410" s="73">
        <v>0.28846153846153855</v>
      </c>
      <c r="BB410" s="73">
        <v>-0.21739130434782605</v>
      </c>
      <c r="BC410" s="73">
        <v>-1.3513513513513487E-2</v>
      </c>
      <c r="BD410" s="73">
        <v>0.29268292682926833</v>
      </c>
      <c r="BE410" s="24">
        <v>8.3032490974729312E-2</v>
      </c>
    </row>
    <row r="411" spans="1:57" hidden="1">
      <c r="A411" s="69" t="s">
        <v>69</v>
      </c>
      <c r="B411" s="37">
        <f>90+41</f>
        <v>131</v>
      </c>
      <c r="C411" s="70">
        <v>27</v>
      </c>
      <c r="D411" s="70">
        <v>50</v>
      </c>
      <c r="E411" s="70">
        <v>14</v>
      </c>
      <c r="F411" s="70">
        <f>G411-E411-D411-C411</f>
        <v>29</v>
      </c>
      <c r="G411" s="37">
        <v>120</v>
      </c>
      <c r="H411" s="70">
        <v>20</v>
      </c>
      <c r="I411" s="70">
        <v>63</v>
      </c>
      <c r="J411" s="70">
        <v>29</v>
      </c>
      <c r="K411" s="70">
        <f>L411-J411-I411-H411</f>
        <v>38</v>
      </c>
      <c r="L411" s="37">
        <v>150</v>
      </c>
      <c r="M411" s="70">
        <v>20</v>
      </c>
      <c r="N411" s="70">
        <v>43</v>
      </c>
      <c r="O411" s="70">
        <v>29</v>
      </c>
      <c r="P411" s="70">
        <v>69</v>
      </c>
      <c r="Q411" s="37">
        <v>160</v>
      </c>
      <c r="R411" s="70">
        <v>49</v>
      </c>
      <c r="S411" s="70">
        <v>71</v>
      </c>
      <c r="T411" s="70">
        <v>85</v>
      </c>
      <c r="U411" s="70">
        <f>V411-T411-S411-R411</f>
        <v>80</v>
      </c>
      <c r="V411" s="37">
        <v>285</v>
      </c>
      <c r="W411" s="70">
        <v>81</v>
      </c>
      <c r="X411" s="70">
        <v>29</v>
      </c>
      <c r="Y411" s="70">
        <v>29</v>
      </c>
      <c r="Z411" s="70">
        <f>AA411-Y411-X411-W411</f>
        <v>30</v>
      </c>
      <c r="AA411" s="37">
        <v>169</v>
      </c>
      <c r="AB411" s="70">
        <v>26</v>
      </c>
      <c r="AC411" s="70">
        <v>39</v>
      </c>
      <c r="AD411" s="70">
        <v>16</v>
      </c>
      <c r="AE411" s="70">
        <v>25</v>
      </c>
      <c r="AF411" s="37">
        <v>106</v>
      </c>
      <c r="AG411" s="70">
        <v>33</v>
      </c>
      <c r="AH411" s="70">
        <v>24</v>
      </c>
      <c r="AI411" s="70">
        <v>28</v>
      </c>
      <c r="AJ411" s="70">
        <v>25</v>
      </c>
      <c r="AK411" s="37">
        <v>110</v>
      </c>
      <c r="AL411" s="70">
        <v>56</v>
      </c>
      <c r="AM411" s="70">
        <v>17</v>
      </c>
      <c r="AN411" s="70">
        <v>27</v>
      </c>
      <c r="AO411" s="70">
        <v>27</v>
      </c>
      <c r="AP411" s="37">
        <v>127</v>
      </c>
      <c r="AQ411" s="70">
        <v>45</v>
      </c>
      <c r="AR411" s="70">
        <v>35</v>
      </c>
      <c r="AS411" s="70">
        <v>20</v>
      </c>
      <c r="AT411" s="70"/>
      <c r="AU411" s="37"/>
      <c r="AV411" s="70">
        <v>45</v>
      </c>
      <c r="AW411" s="70">
        <v>45</v>
      </c>
      <c r="AX411" s="70">
        <v>45</v>
      </c>
      <c r="AY411" s="70"/>
      <c r="AZ411" s="37"/>
      <c r="BA411" s="70">
        <v>45</v>
      </c>
      <c r="BB411" s="70">
        <v>45</v>
      </c>
      <c r="BC411" s="70">
        <v>45</v>
      </c>
      <c r="BD411" s="70"/>
      <c r="BE411" s="37"/>
    </row>
    <row r="412" spans="1:57" hidden="1">
      <c r="A412" s="71" t="s">
        <v>7</v>
      </c>
      <c r="B412" s="24"/>
      <c r="C412" s="72"/>
      <c r="D412" s="72">
        <f>D411/C411-1</f>
        <v>0.85185185185185186</v>
      </c>
      <c r="E412" s="72">
        <f>E411/D411-1</f>
        <v>-0.72</v>
      </c>
      <c r="F412" s="72">
        <f>F411/E411-1</f>
        <v>1.0714285714285716</v>
      </c>
      <c r="G412" s="24"/>
      <c r="H412" s="72">
        <f>H411/F411-1</f>
        <v>-0.31034482758620685</v>
      </c>
      <c r="I412" s="72">
        <f>I411/H411-1</f>
        <v>2.15</v>
      </c>
      <c r="J412" s="72">
        <f>J411/I411-1</f>
        <v>-0.53968253968253976</v>
      </c>
      <c r="K412" s="72">
        <f>K411/J411-1</f>
        <v>0.31034482758620685</v>
      </c>
      <c r="L412" s="24"/>
      <c r="M412" s="72">
        <f>M411/K411-1</f>
        <v>-0.47368421052631582</v>
      </c>
      <c r="N412" s="72">
        <f>N411/M411-1</f>
        <v>1.1499999999999999</v>
      </c>
      <c r="O412" s="72">
        <f>O411/N411-1</f>
        <v>-0.32558139534883723</v>
      </c>
      <c r="P412" s="72">
        <f>P411/O411-1</f>
        <v>1.3793103448275863</v>
      </c>
      <c r="Q412" s="24"/>
      <c r="R412" s="72">
        <f>R411/P411-1</f>
        <v>-0.28985507246376807</v>
      </c>
      <c r="S412" s="72">
        <f>S411/R411-1</f>
        <v>0.44897959183673475</v>
      </c>
      <c r="T412" s="72">
        <f>T411/S411-1</f>
        <v>0.19718309859154926</v>
      </c>
      <c r="U412" s="72">
        <f>U411/T411-1</f>
        <v>-5.8823529411764719E-2</v>
      </c>
      <c r="V412" s="24"/>
      <c r="W412" s="72">
        <f>W411/U411-1</f>
        <v>1.2499999999999956E-2</v>
      </c>
      <c r="X412" s="72">
        <f>X411/W411-1</f>
        <v>-0.64197530864197527</v>
      </c>
      <c r="Y412" s="72">
        <f>Y411/X411-1</f>
        <v>0</v>
      </c>
      <c r="Z412" s="72">
        <v>3.4482758620689724E-2</v>
      </c>
      <c r="AA412" s="24"/>
      <c r="AB412" s="72">
        <f>AB411/Z411-1</f>
        <v>-0.1333333333333333</v>
      </c>
      <c r="AC412" s="72">
        <f>AC411/AB411-1</f>
        <v>0.5</v>
      </c>
      <c r="AD412" s="72">
        <f>AD411/AC411-1</f>
        <v>-0.58974358974358976</v>
      </c>
      <c r="AE412" s="72">
        <f>AE411/AD411-1</f>
        <v>0.5625</v>
      </c>
      <c r="AF412" s="24"/>
      <c r="AG412" s="72">
        <v>0.32000000000000006</v>
      </c>
      <c r="AH412" s="72">
        <v>-0.27272727272727271</v>
      </c>
      <c r="AI412" s="72">
        <v>0.16666666666666674</v>
      </c>
      <c r="AJ412" s="72">
        <v>-0.1071428571428571</v>
      </c>
      <c r="AK412" s="24"/>
      <c r="AL412" s="72">
        <v>1.2400000000000002</v>
      </c>
      <c r="AM412" s="72">
        <v>-0.6964285714285714</v>
      </c>
      <c r="AN412" s="72">
        <v>0.58823529411764697</v>
      </c>
      <c r="AO412" s="72">
        <v>0</v>
      </c>
      <c r="AP412" s="24"/>
      <c r="AQ412" s="72">
        <v>0.66666666666666674</v>
      </c>
      <c r="AR412" s="72">
        <v>-0.22222222222222221</v>
      </c>
      <c r="AS412" s="72">
        <v>-0.4285714285714286</v>
      </c>
      <c r="AT412" s="72"/>
      <c r="AU412" s="24"/>
      <c r="AV412" s="72" t="e">
        <v>#DIV/0!</v>
      </c>
      <c r="AW412" s="72" t="e">
        <v>#DIV/0!</v>
      </c>
      <c r="AX412" s="72">
        <v>0</v>
      </c>
      <c r="AY412" s="72"/>
      <c r="AZ412" s="24"/>
      <c r="BA412" s="72" t="e">
        <v>#DIV/0!</v>
      </c>
      <c r="BB412" s="72" t="e">
        <v>#DIV/0!</v>
      </c>
      <c r="BC412" s="72">
        <v>0</v>
      </c>
      <c r="BD412" s="72"/>
      <c r="BE412" s="24"/>
    </row>
    <row r="413" spans="1:57" hidden="1">
      <c r="A413" s="71" t="s">
        <v>8</v>
      </c>
      <c r="B413" s="24"/>
      <c r="C413" s="73"/>
      <c r="D413" s="73"/>
      <c r="E413" s="73"/>
      <c r="F413" s="73"/>
      <c r="G413" s="24">
        <f t="shared" ref="G413:N413" si="289">G411/B411-1</f>
        <v>-8.3969465648854991E-2</v>
      </c>
      <c r="H413" s="73">
        <f t="shared" si="289"/>
        <v>-0.2592592592592593</v>
      </c>
      <c r="I413" s="73">
        <f t="shared" si="289"/>
        <v>0.26</v>
      </c>
      <c r="J413" s="73">
        <f t="shared" si="289"/>
        <v>1.0714285714285716</v>
      </c>
      <c r="K413" s="73">
        <f t="shared" si="289"/>
        <v>0.31034482758620685</v>
      </c>
      <c r="L413" s="24">
        <f t="shared" si="289"/>
        <v>0.25</v>
      </c>
      <c r="M413" s="73">
        <f t="shared" si="289"/>
        <v>0</v>
      </c>
      <c r="N413" s="73">
        <f t="shared" si="289"/>
        <v>-0.31746031746031744</v>
      </c>
      <c r="O413" s="73">
        <f t="shared" ref="O413:Y413" si="290">O411/J411-1</f>
        <v>0</v>
      </c>
      <c r="P413" s="73">
        <f t="shared" si="290"/>
        <v>0.81578947368421062</v>
      </c>
      <c r="Q413" s="24">
        <f t="shared" si="290"/>
        <v>6.6666666666666652E-2</v>
      </c>
      <c r="R413" s="73">
        <f t="shared" si="290"/>
        <v>1.4500000000000002</v>
      </c>
      <c r="S413" s="73">
        <f t="shared" si="290"/>
        <v>0.65116279069767447</v>
      </c>
      <c r="T413" s="73">
        <f t="shared" si="290"/>
        <v>1.9310344827586206</v>
      </c>
      <c r="U413" s="73">
        <f t="shared" si="290"/>
        <v>0.15942028985507251</v>
      </c>
      <c r="V413" s="24">
        <f t="shared" si="290"/>
        <v>0.78125</v>
      </c>
      <c r="W413" s="73">
        <f t="shared" si="290"/>
        <v>0.65306122448979598</v>
      </c>
      <c r="X413" s="73">
        <f t="shared" si="290"/>
        <v>-0.59154929577464788</v>
      </c>
      <c r="Y413" s="73">
        <f t="shared" si="290"/>
        <v>-0.6588235294117647</v>
      </c>
      <c r="Z413" s="73">
        <v>-0.625</v>
      </c>
      <c r="AA413" s="24">
        <f t="shared" ref="AA413:AE413" si="291">AA411/V411-1</f>
        <v>-0.40701754385964917</v>
      </c>
      <c r="AB413" s="73">
        <f t="shared" si="291"/>
        <v>-0.67901234567901236</v>
      </c>
      <c r="AC413" s="73">
        <f t="shared" si="291"/>
        <v>0.34482758620689657</v>
      </c>
      <c r="AD413" s="73">
        <f t="shared" si="291"/>
        <v>-0.44827586206896552</v>
      </c>
      <c r="AE413" s="73">
        <f t="shared" si="291"/>
        <v>-0.16666666666666663</v>
      </c>
      <c r="AF413" s="24">
        <v>-0.37278106508875741</v>
      </c>
      <c r="AG413" s="73">
        <v>0.26923076923076916</v>
      </c>
      <c r="AH413" s="73">
        <v>-0.38461538461538458</v>
      </c>
      <c r="AI413" s="73">
        <v>0.75</v>
      </c>
      <c r="AJ413" s="73">
        <v>0</v>
      </c>
      <c r="AK413" s="24">
        <v>3.7735849056603765E-2</v>
      </c>
      <c r="AL413" s="73">
        <v>0.69696969696969702</v>
      </c>
      <c r="AM413" s="73">
        <v>-0.29166666666666663</v>
      </c>
      <c r="AN413" s="73">
        <v>-3.5714285714285698E-2</v>
      </c>
      <c r="AO413" s="73">
        <v>8.0000000000000071E-2</v>
      </c>
      <c r="AP413" s="24">
        <v>0.15454545454545454</v>
      </c>
      <c r="AQ413" s="73">
        <v>-0.1964285714285714</v>
      </c>
      <c r="AR413" s="73">
        <v>1.0588235294117645</v>
      </c>
      <c r="AS413" s="73">
        <v>-0.2592592592592593</v>
      </c>
      <c r="AT413" s="73"/>
      <c r="AU413" s="24"/>
      <c r="AV413" s="73">
        <v>0</v>
      </c>
      <c r="AW413" s="73">
        <v>0.28571428571428581</v>
      </c>
      <c r="AX413" s="73">
        <v>1.25</v>
      </c>
      <c r="AY413" s="73"/>
      <c r="AZ413" s="24"/>
      <c r="BA413" s="73">
        <v>0</v>
      </c>
      <c r="BB413" s="73">
        <v>0</v>
      </c>
      <c r="BC413" s="73">
        <v>0</v>
      </c>
      <c r="BD413" s="73"/>
      <c r="BE413" s="24"/>
    </row>
    <row r="414" spans="1:57">
      <c r="A414" s="69" t="s">
        <v>68</v>
      </c>
      <c r="B414" s="37">
        <f>41.15+8.994+40.879+12.468</f>
        <v>103.491</v>
      </c>
      <c r="C414" s="70">
        <f>8.133+2.208+17.166</f>
        <v>27.506999999999998</v>
      </c>
      <c r="D414" s="70">
        <f>10.724+7.38+12.816</f>
        <v>30.92</v>
      </c>
      <c r="E414" s="70">
        <f>13.406+2.329+17.566</f>
        <v>33.301000000000002</v>
      </c>
      <c r="F414" s="70">
        <f>G414-E414-D414-C414</f>
        <v>26.93</v>
      </c>
      <c r="G414" s="37">
        <f>45.028+9.918+58.712+5</f>
        <v>118.658</v>
      </c>
      <c r="H414" s="70">
        <f>15.023+5.147+1.278</f>
        <v>21.448</v>
      </c>
      <c r="I414" s="70">
        <f>7.388+9.424+9.283</f>
        <v>26.094999999999999</v>
      </c>
      <c r="J414" s="70">
        <f>9.214+6.57+17.691</f>
        <v>33.475000000000001</v>
      </c>
      <c r="K414" s="70">
        <f>L414-J414-I414-H414</f>
        <v>38.912000000000013</v>
      </c>
      <c r="L414" s="37">
        <f>39.192+27.4+53.338</f>
        <v>119.93</v>
      </c>
      <c r="M414" s="70">
        <f>6.574+8.15+22.007</f>
        <v>36.731000000000002</v>
      </c>
      <c r="N414" s="70">
        <f>(29.638+15.235+24.624)-(6.574+8.15+22.007)</f>
        <v>32.765999999999998</v>
      </c>
      <c r="O414" s="70">
        <f>18.586+1.753+9.684</f>
        <v>30.022999999999996</v>
      </c>
      <c r="P414" s="70">
        <f>Q414-O414-N414-M414</f>
        <v>80.244000000000028</v>
      </c>
      <c r="Q414" s="37">
        <f>101.972+33.208+44.584</f>
        <v>179.76400000000001</v>
      </c>
      <c r="R414" s="70">
        <f>25.962+19.629+0.432</f>
        <v>46.023000000000003</v>
      </c>
      <c r="S414" s="70">
        <f>31.759+14.805+0.408</f>
        <v>46.972000000000001</v>
      </c>
      <c r="T414" s="70">
        <f>74.585+16.26+0.829</f>
        <v>91.673999999999992</v>
      </c>
      <c r="U414" s="70">
        <f>V414-T414-S414-R414</f>
        <v>103.74900000000002</v>
      </c>
      <c r="V414" s="37">
        <f>209.208+57.026+22.184</f>
        <v>288.41800000000001</v>
      </c>
      <c r="W414" s="70">
        <f>53.395+13.741+3.912</f>
        <v>71.048000000000002</v>
      </c>
      <c r="X414" s="70">
        <f>16.256+12.968+6.548</f>
        <v>35.771999999999998</v>
      </c>
      <c r="Y414" s="70">
        <f>15.176+11.446+3.054</f>
        <v>29.675999999999998</v>
      </c>
      <c r="Z414" s="70">
        <f>AA414-Y414-X414-W414</f>
        <v>38.865000000000009</v>
      </c>
      <c r="AA414" s="37">
        <f>113.803+54.321+7.237</f>
        <v>175.36099999999999</v>
      </c>
      <c r="AB414" s="70">
        <f>16.608+11.749+2.527</f>
        <v>30.884</v>
      </c>
      <c r="AC414" s="70">
        <f>15.364+9.196+3.058</f>
        <v>27.618000000000002</v>
      </c>
      <c r="AD414" s="70">
        <f>10.822+14.215</f>
        <v>25.036999999999999</v>
      </c>
      <c r="AE414" s="70">
        <f>AF414-AD414-AC414-AB414</f>
        <v>20.976000000000006</v>
      </c>
      <c r="AF414" s="37">
        <v>104.515</v>
      </c>
      <c r="AG414" s="70">
        <v>30.760999999999999</v>
      </c>
      <c r="AH414" s="70">
        <v>23.86</v>
      </c>
      <c r="AI414" s="70">
        <v>27.344000000000001</v>
      </c>
      <c r="AJ414" s="70">
        <v>28.035000000000007</v>
      </c>
      <c r="AK414" s="37">
        <v>110</v>
      </c>
      <c r="AL414" s="70">
        <v>52.957000000000001</v>
      </c>
      <c r="AM414" s="70">
        <v>25.783999999999999</v>
      </c>
      <c r="AN414" s="70">
        <v>28.239000000000001</v>
      </c>
      <c r="AO414" s="70">
        <v>21.020000000000003</v>
      </c>
      <c r="AP414" s="37">
        <v>128</v>
      </c>
      <c r="AQ414" s="70">
        <v>37</v>
      </c>
      <c r="AR414" s="70">
        <v>33</v>
      </c>
      <c r="AS414" s="70">
        <v>24</v>
      </c>
      <c r="AT414" s="70">
        <v>26</v>
      </c>
      <c r="AU414" s="37">
        <v>120</v>
      </c>
      <c r="AV414" s="70">
        <v>29</v>
      </c>
      <c r="AW414" s="70">
        <v>46</v>
      </c>
      <c r="AX414" s="70">
        <v>31</v>
      </c>
      <c r="AY414" s="70">
        <v>36</v>
      </c>
      <c r="AZ414" s="37">
        <v>142</v>
      </c>
      <c r="BA414" s="70">
        <v>31</v>
      </c>
      <c r="BB414" s="70">
        <v>44</v>
      </c>
      <c r="BC414" s="70">
        <v>27</v>
      </c>
      <c r="BD414" s="151">
        <v>25</v>
      </c>
      <c r="BE414" s="37">
        <v>127</v>
      </c>
    </row>
    <row r="415" spans="1:57">
      <c r="A415" s="71" t="s">
        <v>7</v>
      </c>
      <c r="B415" s="24"/>
      <c r="C415" s="72"/>
      <c r="D415" s="72">
        <f>D414/C414-1</f>
        <v>0.12407750754353453</v>
      </c>
      <c r="E415" s="72">
        <f>E414/D414-1</f>
        <v>7.7005174644243279E-2</v>
      </c>
      <c r="F415" s="72">
        <f>F414/E414-1</f>
        <v>-0.19131557610882566</v>
      </c>
      <c r="G415" s="24"/>
      <c r="H415" s="72">
        <f>H414/F414-1</f>
        <v>-0.20356479762346824</v>
      </c>
      <c r="I415" s="72">
        <f>I414/H414-1</f>
        <v>0.21666355837374107</v>
      </c>
      <c r="J415" s="72">
        <f>J414/I414-1</f>
        <v>0.28281279938685588</v>
      </c>
      <c r="K415" s="72">
        <f>K414/J414-1</f>
        <v>0.16241971620612428</v>
      </c>
      <c r="L415" s="24"/>
      <c r="M415" s="72">
        <f>M414/K414-1</f>
        <v>-5.6049547697368696E-2</v>
      </c>
      <c r="N415" s="72">
        <f>N414/M414-1</f>
        <v>-0.1079469657782256</v>
      </c>
      <c r="O415" s="72">
        <f>O414/N414-1</f>
        <v>-8.3714826344381432E-2</v>
      </c>
      <c r="P415" s="72">
        <f>P414/O414-1</f>
        <v>1.6727508909835804</v>
      </c>
      <c r="Q415" s="24"/>
      <c r="R415" s="72">
        <f>R414/P414-1</f>
        <v>-0.42646179153581587</v>
      </c>
      <c r="S415" s="72">
        <f>S414/R414-1</f>
        <v>2.0620124720248434E-2</v>
      </c>
      <c r="T415" s="72">
        <f>T414/S414-1</f>
        <v>0.95167333730733183</v>
      </c>
      <c r="U415" s="72">
        <f>U414/T414-1</f>
        <v>0.13171673538844209</v>
      </c>
      <c r="V415" s="24"/>
      <c r="W415" s="72">
        <f>W414/U414-1</f>
        <v>-0.31519339945445268</v>
      </c>
      <c r="X415" s="72">
        <f>X414/W414-1</f>
        <v>-0.49650940209435879</v>
      </c>
      <c r="Y415" s="72">
        <f>Y414/X414-1</f>
        <v>-0.17041261321704126</v>
      </c>
      <c r="Z415" s="72">
        <v>0.30964415689446056</v>
      </c>
      <c r="AA415" s="24"/>
      <c r="AB415" s="72">
        <f>AB414/Z414-1</f>
        <v>-0.20535185899909958</v>
      </c>
      <c r="AC415" s="72">
        <f>AC414/AB414-1</f>
        <v>-0.10575055044683324</v>
      </c>
      <c r="AD415" s="72">
        <f>AD414/AC414-1</f>
        <v>-9.3453544789630083E-2</v>
      </c>
      <c r="AE415" s="72">
        <f>AE414/AD414-1</f>
        <v>-0.16219994408275729</v>
      </c>
      <c r="AF415" s="24"/>
      <c r="AG415" s="72">
        <v>0.46648550724637627</v>
      </c>
      <c r="AH415" s="72">
        <v>-0.22434251162185881</v>
      </c>
      <c r="AI415" s="72">
        <v>0.14601844090528093</v>
      </c>
      <c r="AJ415" s="72">
        <v>2.5270626097133153E-2</v>
      </c>
      <c r="AK415" s="24"/>
      <c r="AL415" s="72">
        <v>0.88896022828607046</v>
      </c>
      <c r="AM415" s="72">
        <v>-0.51311441358082976</v>
      </c>
      <c r="AN415" s="72">
        <v>9.5214086255041908E-2</v>
      </c>
      <c r="AO415" s="72">
        <v>-0.25563936400014153</v>
      </c>
      <c r="AP415" s="24"/>
      <c r="AQ415" s="72">
        <v>0.76022835394862009</v>
      </c>
      <c r="AR415" s="72">
        <v>-0.10810810810810811</v>
      </c>
      <c r="AS415" s="72">
        <v>-0.27272727272727271</v>
      </c>
      <c r="AT415" s="72">
        <v>8.3333333333333259E-2</v>
      </c>
      <c r="AU415" s="24"/>
      <c r="AV415" s="72">
        <v>0.11538461538461542</v>
      </c>
      <c r="AW415" s="72">
        <v>0.5862068965517242</v>
      </c>
      <c r="AX415" s="72">
        <v>-0.32608695652173914</v>
      </c>
      <c r="AY415" s="72">
        <v>0.16129032258064524</v>
      </c>
      <c r="AZ415" s="24"/>
      <c r="BA415" s="72">
        <v>-0.13888888888888884</v>
      </c>
      <c r="BB415" s="72">
        <v>0.41935483870967749</v>
      </c>
      <c r="BC415" s="72">
        <v>-0.38636363636363635</v>
      </c>
      <c r="BD415" s="72">
        <v>-7.407407407407407E-2</v>
      </c>
      <c r="BE415" s="24"/>
    </row>
    <row r="416" spans="1:57">
      <c r="A416" s="71" t="s">
        <v>8</v>
      </c>
      <c r="B416" s="24"/>
      <c r="C416" s="73"/>
      <c r="D416" s="73"/>
      <c r="E416" s="73"/>
      <c r="F416" s="73"/>
      <c r="G416" s="24">
        <f t="shared" ref="G416:N416" si="292">G414/B414-1</f>
        <v>0.14655380661120287</v>
      </c>
      <c r="H416" s="73">
        <f t="shared" si="292"/>
        <v>-0.2202712036936052</v>
      </c>
      <c r="I416" s="73">
        <f t="shared" si="292"/>
        <v>-0.15604786545924976</v>
      </c>
      <c r="J416" s="73">
        <f t="shared" si="292"/>
        <v>5.2250683162666789E-3</v>
      </c>
      <c r="K416" s="73">
        <f t="shared" si="292"/>
        <v>0.44493130337913156</v>
      </c>
      <c r="L416" s="24">
        <f t="shared" si="292"/>
        <v>1.0719884036474614E-2</v>
      </c>
      <c r="M416" s="73">
        <f t="shared" si="292"/>
        <v>0.71256061171204776</v>
      </c>
      <c r="N416" s="73">
        <f t="shared" si="292"/>
        <v>0.25564284345660093</v>
      </c>
      <c r="O416" s="73">
        <f t="shared" ref="O416:Y416" si="293">O414/J414-1</f>
        <v>-0.10312173263629587</v>
      </c>
      <c r="P416" s="73">
        <f t="shared" si="293"/>
        <v>1.0621916118421053</v>
      </c>
      <c r="Q416" s="24">
        <f t="shared" si="293"/>
        <v>0.49890769615609099</v>
      </c>
      <c r="R416" s="73">
        <f t="shared" si="293"/>
        <v>0.25297432686286792</v>
      </c>
      <c r="S416" s="73">
        <f t="shared" si="293"/>
        <v>0.43355917719587378</v>
      </c>
      <c r="T416" s="73">
        <f t="shared" si="293"/>
        <v>2.0534590147553544</v>
      </c>
      <c r="U416" s="73">
        <f t="shared" si="293"/>
        <v>0.29291909675489736</v>
      </c>
      <c r="V416" s="24">
        <f t="shared" si="293"/>
        <v>0.6044258027191205</v>
      </c>
      <c r="W416" s="73">
        <f t="shared" si="293"/>
        <v>0.5437498641983356</v>
      </c>
      <c r="X416" s="73">
        <f t="shared" si="293"/>
        <v>-0.23843992165545436</v>
      </c>
      <c r="Y416" s="73">
        <f t="shared" si="293"/>
        <v>-0.67628771516460495</v>
      </c>
      <c r="Z416" s="73">
        <v>-0.62539397970100918</v>
      </c>
      <c r="AA416" s="24">
        <f t="shared" ref="AA416:AE416" si="294">AA414/V414-1</f>
        <v>-0.39199009770541371</v>
      </c>
      <c r="AB416" s="73">
        <f t="shared" si="294"/>
        <v>-0.5653079608152235</v>
      </c>
      <c r="AC416" s="73">
        <f t="shared" si="294"/>
        <v>-0.22794364307279424</v>
      </c>
      <c r="AD416" s="73">
        <f t="shared" si="294"/>
        <v>-0.15632160668553707</v>
      </c>
      <c r="AE416" s="73">
        <f t="shared" si="294"/>
        <v>-0.46028560401389418</v>
      </c>
      <c r="AF416" s="24">
        <v>-0.40400088959346714</v>
      </c>
      <c r="AG416" s="73">
        <v>-3.9826447351379857E-3</v>
      </c>
      <c r="AH416" s="73">
        <v>-0.13607067854297927</v>
      </c>
      <c r="AI416" s="73">
        <v>9.2143627431401587E-2</v>
      </c>
      <c r="AJ416" s="73">
        <v>0.33652745995423339</v>
      </c>
      <c r="AK416" s="24">
        <v>5.2480505190642512E-2</v>
      </c>
      <c r="AL416" s="73">
        <v>0.7215630181073438</v>
      </c>
      <c r="AM416" s="73">
        <v>8.0637049455155152E-2</v>
      </c>
      <c r="AN416" s="73">
        <v>3.2731129315389129E-2</v>
      </c>
      <c r="AO416" s="73">
        <v>-0.25022293561619413</v>
      </c>
      <c r="AP416" s="24">
        <v>0.16363636363636358</v>
      </c>
      <c r="AQ416" s="73">
        <v>-0.30131993881828656</v>
      </c>
      <c r="AR416" s="73">
        <v>0.27986348122866889</v>
      </c>
      <c r="AS416" s="73">
        <v>-0.15011154785934344</v>
      </c>
      <c r="AT416" s="73">
        <v>0.23691722169362484</v>
      </c>
      <c r="AU416" s="24">
        <v>-6.25E-2</v>
      </c>
      <c r="AV416" s="73">
        <v>-0.21621621621621623</v>
      </c>
      <c r="AW416" s="73">
        <v>0.39393939393939403</v>
      </c>
      <c r="AX416" s="73">
        <v>0.29166666666666674</v>
      </c>
      <c r="AY416" s="73">
        <v>0.38461538461538458</v>
      </c>
      <c r="AZ416" s="24">
        <v>0.18333333333333335</v>
      </c>
      <c r="BA416" s="73">
        <v>6.8965517241379226E-2</v>
      </c>
      <c r="BB416" s="73">
        <v>-4.3478260869565188E-2</v>
      </c>
      <c r="BC416" s="73">
        <v>-0.12903225806451613</v>
      </c>
      <c r="BD416" s="73">
        <v>-0.30555555555555558</v>
      </c>
      <c r="BE416" s="24">
        <v>-0.10563380281690138</v>
      </c>
    </row>
    <row r="417" spans="1:57" s="36" customFormat="1" ht="15.6">
      <c r="A417" s="69" t="s">
        <v>67</v>
      </c>
      <c r="B417" s="37">
        <f>B414-3.926</f>
        <v>99.564999999999998</v>
      </c>
      <c r="C417" s="70">
        <f>8.133+2.208+17.166</f>
        <v>27.506999999999998</v>
      </c>
      <c r="D417" s="70">
        <f>10.724+7.38+12.816</f>
        <v>30.92</v>
      </c>
      <c r="E417" s="70">
        <f>E414</f>
        <v>33.301000000000002</v>
      </c>
      <c r="F417" s="70">
        <f>G417-E417-D417-C417</f>
        <v>26.417999999999999</v>
      </c>
      <c r="G417" s="37">
        <f>G414-0.512</f>
        <v>118.146</v>
      </c>
      <c r="H417" s="70">
        <f>H414-0.107</f>
        <v>21.341000000000001</v>
      </c>
      <c r="I417" s="70">
        <f>I414-0.045</f>
        <v>26.049999999999997</v>
      </c>
      <c r="J417" s="70">
        <f>J414</f>
        <v>33.475000000000001</v>
      </c>
      <c r="K417" s="70">
        <f>L417-J417-I417-H417</f>
        <v>38.908000000000008</v>
      </c>
      <c r="L417" s="37">
        <f>L414-0.156</f>
        <v>119.774</v>
      </c>
      <c r="M417" s="70">
        <f>M414-0.021</f>
        <v>36.71</v>
      </c>
      <c r="N417" s="70">
        <f>N414</f>
        <v>32.765999999999998</v>
      </c>
      <c r="O417" s="70">
        <f>O414-0.101</f>
        <v>29.921999999999997</v>
      </c>
      <c r="P417" s="70">
        <f>Q417-O417-N417-M417</f>
        <v>80.232000000000028</v>
      </c>
      <c r="Q417" s="37">
        <f>Q414-0.134</f>
        <v>179.63000000000002</v>
      </c>
      <c r="R417" s="70">
        <f>R414-0.256</f>
        <v>45.767000000000003</v>
      </c>
      <c r="S417" s="70">
        <f>S414</f>
        <v>46.972000000000001</v>
      </c>
      <c r="T417" s="70">
        <f>T414-0.097</f>
        <v>91.576999999999998</v>
      </c>
      <c r="U417" s="70">
        <f>V417-T417-S417-R417</f>
        <v>103.32200000000003</v>
      </c>
      <c r="V417" s="37">
        <f>V414-0.78</f>
        <v>287.63800000000003</v>
      </c>
      <c r="W417" s="70">
        <f>W414-0.422</f>
        <v>70.626000000000005</v>
      </c>
      <c r="X417" s="70">
        <f>X414-0.121</f>
        <v>35.650999999999996</v>
      </c>
      <c r="Y417" s="70">
        <f>Y414-1.073</f>
        <v>28.602999999999998</v>
      </c>
      <c r="Z417" s="70">
        <f>AA417-Y417-X417-W417</f>
        <v>38.155999999999992</v>
      </c>
      <c r="AA417" s="37">
        <f>AA414-2.325</f>
        <v>173.036</v>
      </c>
      <c r="AB417" s="70">
        <f>AB414-0.173</f>
        <v>30.711000000000002</v>
      </c>
      <c r="AC417" s="70">
        <f>AC414-0.475</f>
        <v>27.143000000000001</v>
      </c>
      <c r="AD417" s="70">
        <f>AD414-3.627</f>
        <v>21.41</v>
      </c>
      <c r="AE417" s="70">
        <f>AF417-AD417-AC417-AB417</f>
        <v>17.895000000000007</v>
      </c>
      <c r="AF417" s="37">
        <v>97.159000000000006</v>
      </c>
      <c r="AG417" s="70">
        <v>31</v>
      </c>
      <c r="AH417" s="70">
        <v>23</v>
      </c>
      <c r="AI417" s="70">
        <v>27</v>
      </c>
      <c r="AJ417" s="70">
        <v>27</v>
      </c>
      <c r="AK417" s="37">
        <v>108</v>
      </c>
      <c r="AL417" s="70">
        <v>53</v>
      </c>
      <c r="AM417" s="70">
        <v>26</v>
      </c>
      <c r="AN417" s="70">
        <v>28</v>
      </c>
      <c r="AO417" s="70">
        <v>21</v>
      </c>
      <c r="AP417" s="37">
        <v>128</v>
      </c>
      <c r="AQ417" s="70">
        <v>37</v>
      </c>
      <c r="AR417" s="70">
        <v>33</v>
      </c>
      <c r="AS417" s="70">
        <v>24</v>
      </c>
      <c r="AT417" s="70">
        <v>25</v>
      </c>
      <c r="AU417" s="37">
        <v>119</v>
      </c>
      <c r="AV417" s="70">
        <v>29</v>
      </c>
      <c r="AW417" s="70">
        <v>46</v>
      </c>
      <c r="AX417" s="70">
        <v>29</v>
      </c>
      <c r="AY417" s="70">
        <v>35</v>
      </c>
      <c r="AZ417" s="37">
        <v>139</v>
      </c>
      <c r="BA417" s="70">
        <v>31</v>
      </c>
      <c r="BB417" s="70">
        <v>44</v>
      </c>
      <c r="BC417" s="70">
        <v>26</v>
      </c>
      <c r="BD417" s="151">
        <v>25</v>
      </c>
      <c r="BE417" s="37">
        <v>126</v>
      </c>
    </row>
    <row r="418" spans="1:57">
      <c r="A418" s="71" t="s">
        <v>7</v>
      </c>
      <c r="B418" s="24"/>
      <c r="C418" s="72"/>
      <c r="D418" s="72">
        <f>D417/C417-1</f>
        <v>0.12407750754353453</v>
      </c>
      <c r="E418" s="72">
        <f>E417/D417-1</f>
        <v>7.7005174644243279E-2</v>
      </c>
      <c r="F418" s="72">
        <f>F417/E417-1</f>
        <v>-0.20669048977508186</v>
      </c>
      <c r="G418" s="24"/>
      <c r="H418" s="72">
        <f>H417/F417-1</f>
        <v>-0.19217957453251566</v>
      </c>
      <c r="I418" s="72">
        <f>I417/H417-1</f>
        <v>0.22065507708167353</v>
      </c>
      <c r="J418" s="72">
        <f>J417/I417-1</f>
        <v>0.28502879078694843</v>
      </c>
      <c r="K418" s="72">
        <f>K417/J417-1</f>
        <v>0.16230022404779709</v>
      </c>
      <c r="L418" s="24"/>
      <c r="M418" s="72">
        <f>M417/K417-1</f>
        <v>-5.6492238100133818E-2</v>
      </c>
      <c r="N418" s="72">
        <f>N417/M417-1</f>
        <v>-0.10743666575864896</v>
      </c>
      <c r="O418" s="72">
        <f>O417/N417-1</f>
        <v>-8.6797289873649541E-2</v>
      </c>
      <c r="P418" s="72">
        <f>P417/O417-1</f>
        <v>1.6813715660717876</v>
      </c>
      <c r="Q418" s="24"/>
      <c r="R418" s="72">
        <f>R417/P417-1</f>
        <v>-0.4295667564064215</v>
      </c>
      <c r="S418" s="72">
        <f>S417/R417-1</f>
        <v>2.6329014355321423E-2</v>
      </c>
      <c r="T418" s="72">
        <f>T417/S417-1</f>
        <v>0.94960827727156594</v>
      </c>
      <c r="U418" s="72">
        <f>U417/T417-1</f>
        <v>0.12825272721316527</v>
      </c>
      <c r="V418" s="24"/>
      <c r="W418" s="72">
        <f>W417/U417-1</f>
        <v>-0.31644761038307445</v>
      </c>
      <c r="X418" s="72">
        <f>X417/W417-1</f>
        <v>-0.49521422705519225</v>
      </c>
      <c r="Y418" s="72">
        <f>Y417/X417-1</f>
        <v>-0.19769431432498386</v>
      </c>
      <c r="Z418" s="72">
        <v>0.33398594553018901</v>
      </c>
      <c r="AA418" s="24"/>
      <c r="AB418" s="72">
        <f>AB417/Z417-1</f>
        <v>-0.1951200335464931</v>
      </c>
      <c r="AC418" s="72">
        <f>AC417/AB417-1</f>
        <v>-0.11617987040474098</v>
      </c>
      <c r="AD418" s="72">
        <f>AD417/AC417-1</f>
        <v>-0.21121467781748515</v>
      </c>
      <c r="AE418" s="72">
        <f>AE417/AD417-1</f>
        <v>-0.16417561886968679</v>
      </c>
      <c r="AF418" s="24"/>
      <c r="AG418" s="72">
        <v>0.73232746577256158</v>
      </c>
      <c r="AH418" s="72">
        <v>-0.25806451612903225</v>
      </c>
      <c r="AI418" s="72">
        <v>0.17391304347826098</v>
      </c>
      <c r="AJ418" s="72">
        <v>0</v>
      </c>
      <c r="AK418" s="24"/>
      <c r="AL418" s="72">
        <v>0.96296296296296302</v>
      </c>
      <c r="AM418" s="72">
        <v>-0.50943396226415094</v>
      </c>
      <c r="AN418" s="72">
        <v>7.6923076923076872E-2</v>
      </c>
      <c r="AO418" s="72">
        <v>-0.25</v>
      </c>
      <c r="AP418" s="24"/>
      <c r="AQ418" s="72">
        <v>0.76190476190476186</v>
      </c>
      <c r="AR418" s="72">
        <v>-0.10810810810810811</v>
      </c>
      <c r="AS418" s="72">
        <v>-0.27272727272727271</v>
      </c>
      <c r="AT418" s="72">
        <v>4.1666666666666741E-2</v>
      </c>
      <c r="AU418" s="24"/>
      <c r="AV418" s="72">
        <v>0.15999999999999992</v>
      </c>
      <c r="AW418" s="72">
        <v>0.5862068965517242</v>
      </c>
      <c r="AX418" s="72">
        <v>-0.36956521739130432</v>
      </c>
      <c r="AY418" s="72">
        <v>0.2068965517241379</v>
      </c>
      <c r="AZ418" s="24"/>
      <c r="BA418" s="72">
        <v>-0.11428571428571432</v>
      </c>
      <c r="BB418" s="72">
        <v>0.41935483870967749</v>
      </c>
      <c r="BC418" s="72">
        <v>-0.40909090909090906</v>
      </c>
      <c r="BD418" s="72">
        <v>-3.8461538461538436E-2</v>
      </c>
      <c r="BE418" s="24"/>
    </row>
    <row r="419" spans="1:57">
      <c r="A419" s="71" t="s">
        <v>8</v>
      </c>
      <c r="B419" s="24"/>
      <c r="C419" s="73"/>
      <c r="D419" s="73"/>
      <c r="E419" s="73"/>
      <c r="F419" s="73"/>
      <c r="G419" s="24">
        <f t="shared" ref="G419:N419" si="295">G417/B417-1</f>
        <v>0.18662180485110236</v>
      </c>
      <c r="H419" s="73">
        <f t="shared" si="295"/>
        <v>-0.2241611226233321</v>
      </c>
      <c r="I419" s="73">
        <f t="shared" si="295"/>
        <v>-0.15750323415265211</v>
      </c>
      <c r="J419" s="73">
        <f t="shared" si="295"/>
        <v>5.2250683162666789E-3</v>
      </c>
      <c r="K419" s="73">
        <f t="shared" si="295"/>
        <v>0.4727837080778261</v>
      </c>
      <c r="L419" s="24">
        <f t="shared" si="295"/>
        <v>1.3779560882298147E-2</v>
      </c>
      <c r="M419" s="73">
        <f t="shared" si="295"/>
        <v>0.7201630663980132</v>
      </c>
      <c r="N419" s="73">
        <f t="shared" si="295"/>
        <v>0.25781190019193856</v>
      </c>
      <c r="O419" s="73">
        <f t="shared" ref="O419:Y419" si="296">O417/J417-1</f>
        <v>-0.10613890963405537</v>
      </c>
      <c r="P419" s="73">
        <f t="shared" si="296"/>
        <v>1.0620951989308116</v>
      </c>
      <c r="Q419" s="24">
        <f t="shared" si="296"/>
        <v>0.49974117922086614</v>
      </c>
      <c r="R419" s="73">
        <f t="shared" si="296"/>
        <v>0.24671751566330702</v>
      </c>
      <c r="S419" s="73">
        <f t="shared" si="296"/>
        <v>0.43355917719587378</v>
      </c>
      <c r="T419" s="73">
        <f t="shared" si="296"/>
        <v>2.0605240291424374</v>
      </c>
      <c r="U419" s="73">
        <f t="shared" si="296"/>
        <v>0.28779040781732967</v>
      </c>
      <c r="V419" s="24">
        <f t="shared" si="296"/>
        <v>0.60128040973111396</v>
      </c>
      <c r="W419" s="73">
        <f t="shared" si="296"/>
        <v>0.54316428867961641</v>
      </c>
      <c r="X419" s="73">
        <f t="shared" si="296"/>
        <v>-0.24101592438048214</v>
      </c>
      <c r="Y419" s="73">
        <f t="shared" si="296"/>
        <v>-0.68766174912914813</v>
      </c>
      <c r="Z419" s="73">
        <v>-0.63070788409051337</v>
      </c>
      <c r="AA419" s="24">
        <f t="shared" ref="AA419:AE419" si="297">AA417/V417-1</f>
        <v>-0.39842440845785332</v>
      </c>
      <c r="AB419" s="73">
        <f t="shared" si="297"/>
        <v>-0.56516013932546083</v>
      </c>
      <c r="AC419" s="73">
        <f t="shared" si="297"/>
        <v>-0.23864688227539188</v>
      </c>
      <c r="AD419" s="73">
        <f t="shared" si="297"/>
        <v>-0.25147711778484771</v>
      </c>
      <c r="AE419" s="73">
        <f t="shared" si="297"/>
        <v>-0.53100429814445937</v>
      </c>
      <c r="AF419" s="24">
        <v>-0.43850412630897617</v>
      </c>
      <c r="AG419" s="73">
        <v>9.4103090098009989E-3</v>
      </c>
      <c r="AH419" s="73">
        <v>-0.15263603875769072</v>
      </c>
      <c r="AI419" s="73">
        <v>0.26109294722092469</v>
      </c>
      <c r="AJ419" s="73">
        <v>0.50880134115674713</v>
      </c>
      <c r="AK419" s="24">
        <v>0.11157998744326303</v>
      </c>
      <c r="AL419" s="73">
        <v>0.70967741935483875</v>
      </c>
      <c r="AM419" s="73">
        <v>0.13043478260869557</v>
      </c>
      <c r="AN419" s="73">
        <v>3.7037037037036979E-2</v>
      </c>
      <c r="AO419" s="73">
        <v>-0.22222222222222221</v>
      </c>
      <c r="AP419" s="24">
        <v>0.18518518518518512</v>
      </c>
      <c r="AQ419" s="73">
        <v>-0.30188679245283023</v>
      </c>
      <c r="AR419" s="73">
        <v>0.26923076923076916</v>
      </c>
      <c r="AS419" s="73">
        <v>-0.1428571428571429</v>
      </c>
      <c r="AT419" s="73">
        <v>0.19047619047619047</v>
      </c>
      <c r="AU419" s="24">
        <v>-7.03125E-2</v>
      </c>
      <c r="AV419" s="73">
        <v>-0.21621621621621623</v>
      </c>
      <c r="AW419" s="73">
        <v>0.39393939393939403</v>
      </c>
      <c r="AX419" s="73">
        <v>0.20833333333333326</v>
      </c>
      <c r="AY419" s="73">
        <v>0.39999999999999991</v>
      </c>
      <c r="AZ419" s="24">
        <v>0.16806722689075637</v>
      </c>
      <c r="BA419" s="73">
        <v>6.8965517241379226E-2</v>
      </c>
      <c r="BB419" s="73">
        <v>-4.3478260869565188E-2</v>
      </c>
      <c r="BC419" s="73">
        <v>-0.10344827586206895</v>
      </c>
      <c r="BD419" s="73">
        <v>-0.2857142857142857</v>
      </c>
      <c r="BE419" s="24">
        <v>-9.3525179856115082E-2</v>
      </c>
    </row>
    <row r="420" spans="1:57">
      <c r="A420" s="69" t="s">
        <v>261</v>
      </c>
      <c r="B420" s="24"/>
      <c r="C420" s="73"/>
      <c r="D420" s="73"/>
      <c r="E420" s="73"/>
      <c r="F420" s="73"/>
      <c r="G420" s="24"/>
      <c r="H420" s="73"/>
      <c r="I420" s="73"/>
      <c r="J420" s="73"/>
      <c r="K420" s="73"/>
      <c r="L420" s="24"/>
      <c r="M420" s="73"/>
      <c r="N420" s="73"/>
      <c r="O420" s="73"/>
      <c r="P420" s="73"/>
      <c r="Q420" s="24"/>
      <c r="R420" s="73"/>
      <c r="S420" s="73"/>
      <c r="T420" s="73"/>
      <c r="U420" s="73"/>
      <c r="V420" s="24"/>
      <c r="W420" s="73"/>
      <c r="X420" s="73"/>
      <c r="Y420" s="73"/>
      <c r="Z420" s="73"/>
      <c r="AA420" s="24"/>
      <c r="AB420" s="73"/>
      <c r="AC420" s="73"/>
      <c r="AD420" s="73"/>
      <c r="AE420" s="73"/>
      <c r="AF420" s="24"/>
      <c r="AG420" s="73"/>
      <c r="AH420" s="73"/>
      <c r="AI420" s="73"/>
      <c r="AJ420" s="73"/>
      <c r="AK420" s="24"/>
      <c r="AL420" s="73"/>
      <c r="AM420" s="73"/>
      <c r="AN420" s="73"/>
      <c r="AO420" s="73"/>
      <c r="AP420" s="24"/>
      <c r="AQ420" s="73"/>
      <c r="AR420" s="73"/>
      <c r="AS420" s="73"/>
      <c r="AT420" s="73"/>
      <c r="AU420" s="24"/>
      <c r="AV420" s="73"/>
      <c r="AW420" s="73"/>
      <c r="AX420" s="73"/>
      <c r="AY420" s="73"/>
      <c r="AZ420" s="24"/>
      <c r="BA420" s="70">
        <v>9</v>
      </c>
      <c r="BB420" s="70">
        <v>9</v>
      </c>
      <c r="BC420" s="70">
        <v>9</v>
      </c>
      <c r="BD420" s="151">
        <v>9</v>
      </c>
      <c r="BE420" s="37">
        <v>36</v>
      </c>
    </row>
    <row r="421" spans="1:57" ht="4.5" customHeight="1">
      <c r="A421" s="71"/>
      <c r="B421" s="24"/>
      <c r="C421" s="73"/>
      <c r="D421" s="73"/>
      <c r="E421" s="73"/>
      <c r="F421" s="73"/>
      <c r="G421" s="24"/>
      <c r="H421" s="73"/>
      <c r="I421" s="73"/>
      <c r="J421" s="73"/>
      <c r="K421" s="73"/>
      <c r="L421" s="24"/>
      <c r="M421" s="73"/>
      <c r="N421" s="73"/>
      <c r="O421" s="73"/>
      <c r="P421" s="73"/>
      <c r="Q421" s="24"/>
      <c r="R421" s="73"/>
      <c r="S421" s="73"/>
      <c r="T421" s="73"/>
      <c r="U421" s="73"/>
      <c r="V421" s="24"/>
      <c r="W421" s="73"/>
      <c r="X421" s="73"/>
      <c r="Y421" s="73"/>
      <c r="Z421" s="73"/>
      <c r="AA421" s="24"/>
      <c r="AB421" s="73"/>
      <c r="AC421" s="73"/>
      <c r="AD421" s="73"/>
      <c r="AE421" s="73"/>
      <c r="AF421" s="24"/>
      <c r="AG421" s="73"/>
      <c r="AH421" s="73"/>
      <c r="AI421" s="73"/>
      <c r="AJ421" s="73"/>
      <c r="AK421" s="24"/>
      <c r="AL421" s="73"/>
      <c r="AM421" s="73"/>
      <c r="AN421" s="73"/>
      <c r="AO421" s="73"/>
      <c r="AP421" s="24"/>
      <c r="AQ421" s="73"/>
      <c r="AR421" s="73"/>
      <c r="AS421" s="73"/>
      <c r="AT421" s="73"/>
      <c r="AU421" s="24"/>
      <c r="AV421" s="73"/>
      <c r="AW421" s="73"/>
      <c r="AX421" s="73"/>
      <c r="AY421" s="73"/>
      <c r="AZ421" s="24"/>
      <c r="BA421" s="73"/>
      <c r="BB421" s="73"/>
      <c r="BC421" s="73"/>
      <c r="BD421" s="73"/>
      <c r="BE421" s="24"/>
    </row>
    <row r="422" spans="1:57" s="36" customFormat="1">
      <c r="A422" s="69" t="s">
        <v>66</v>
      </c>
      <c r="B422" s="178">
        <f>B408-B417</f>
        <v>-6.8709999999999951</v>
      </c>
      <c r="C422" s="186">
        <f>C408-C417</f>
        <v>-19.988999999999997</v>
      </c>
      <c r="D422" s="186">
        <f>D408-D417</f>
        <v>20.009999999999998</v>
      </c>
      <c r="E422" s="186">
        <f>E408-E417</f>
        <v>-1.4210000000000029</v>
      </c>
      <c r="F422" s="186">
        <f>G422-E422-D422-C422</f>
        <v>46.7</v>
      </c>
      <c r="G422" s="37">
        <f>G408-G417</f>
        <v>45.3</v>
      </c>
      <c r="H422" s="70">
        <f>H408-H417</f>
        <v>62.167999999999999</v>
      </c>
      <c r="I422" s="70">
        <f>I408-I417</f>
        <v>56.638000000000005</v>
      </c>
      <c r="J422" s="70">
        <f>J408-J417</f>
        <v>47.985999999999997</v>
      </c>
      <c r="K422" s="70">
        <f>L422-J422-I422-H422</f>
        <v>33.001000000000012</v>
      </c>
      <c r="L422" s="37">
        <f>L408-L417</f>
        <v>199.79300000000001</v>
      </c>
      <c r="M422" s="70">
        <f>M408-M417</f>
        <v>22.769999999999996</v>
      </c>
      <c r="N422" s="70">
        <f>N408-N417</f>
        <v>33.091000000000001</v>
      </c>
      <c r="O422" s="70">
        <f>O408-O417</f>
        <v>44.709000000000003</v>
      </c>
      <c r="P422" s="70">
        <f>Q422-O422-N422-M422</f>
        <v>9.8759999999999977</v>
      </c>
      <c r="Q422" s="37">
        <f>Q408-Q417</f>
        <v>110.446</v>
      </c>
      <c r="R422" s="186">
        <f>R408-R417</f>
        <v>-3.7690000000000055</v>
      </c>
      <c r="S422" s="186">
        <f>S408-S417</f>
        <v>21.143999999999998</v>
      </c>
      <c r="T422" s="186">
        <f>T408-T417</f>
        <v>-34.127000000000002</v>
      </c>
      <c r="U422" s="186">
        <f>V422-(SUM(R422:T422))</f>
        <v>-27.394000000000005</v>
      </c>
      <c r="V422" s="178">
        <f>V408-V417</f>
        <v>-44.146000000000015</v>
      </c>
      <c r="W422" s="186">
        <f>W408-W417</f>
        <v>-12.209000000000003</v>
      </c>
      <c r="X422" s="186">
        <f>X408-X417</f>
        <v>28.560000000000002</v>
      </c>
      <c r="Y422" s="186">
        <f>Y408-Y417</f>
        <v>34.533000000000001</v>
      </c>
      <c r="Z422" s="186">
        <f>AA422-Y422-X422-W422</f>
        <v>48.165999999999954</v>
      </c>
      <c r="AA422" s="37">
        <f>AA408-AA417</f>
        <v>99.049999999999955</v>
      </c>
      <c r="AB422" s="70">
        <f>AB408-AB417</f>
        <v>27.601000000000003</v>
      </c>
      <c r="AC422" s="70">
        <f>AC408-AC417</f>
        <v>54.055999999999997</v>
      </c>
      <c r="AD422" s="70">
        <f>AD408-AD417</f>
        <v>50.08</v>
      </c>
      <c r="AE422" s="70">
        <f>AF422-AD422-AC422-AB422</f>
        <v>58.828999999999994</v>
      </c>
      <c r="AF422" s="37">
        <v>190.56599999999997</v>
      </c>
      <c r="AG422" s="70">
        <v>43</v>
      </c>
      <c r="AH422" s="70">
        <v>72</v>
      </c>
      <c r="AI422" s="70">
        <v>44</v>
      </c>
      <c r="AJ422" s="147">
        <v>45</v>
      </c>
      <c r="AK422" s="37">
        <v>204</v>
      </c>
      <c r="AL422" s="70">
        <v>9</v>
      </c>
      <c r="AM422" s="70">
        <v>48</v>
      </c>
      <c r="AN422" s="70">
        <v>41</v>
      </c>
      <c r="AO422" s="70">
        <v>75</v>
      </c>
      <c r="AP422" s="37">
        <v>173</v>
      </c>
      <c r="AQ422" s="70">
        <v>12</v>
      </c>
      <c r="AR422" s="70">
        <v>36</v>
      </c>
      <c r="AS422" s="70">
        <v>41</v>
      </c>
      <c r="AT422" s="70">
        <v>61</v>
      </c>
      <c r="AU422" s="37">
        <v>150</v>
      </c>
      <c r="AV422" s="70">
        <v>23</v>
      </c>
      <c r="AW422" s="70">
        <v>23</v>
      </c>
      <c r="AX422" s="70">
        <v>45</v>
      </c>
      <c r="AY422" s="70">
        <v>47</v>
      </c>
      <c r="AZ422" s="37">
        <v>138</v>
      </c>
      <c r="BA422" s="70">
        <v>27</v>
      </c>
      <c r="BB422" s="70">
        <v>1</v>
      </c>
      <c r="BC422" s="70">
        <v>38</v>
      </c>
      <c r="BD422" s="151">
        <v>72</v>
      </c>
      <c r="BE422" s="37">
        <v>138</v>
      </c>
    </row>
    <row r="423" spans="1:57">
      <c r="A423" s="71" t="s">
        <v>7</v>
      </c>
      <c r="B423" s="24"/>
      <c r="C423" s="72"/>
      <c r="D423" s="85" t="s">
        <v>43</v>
      </c>
      <c r="E423" s="85" t="s">
        <v>43</v>
      </c>
      <c r="F423" s="85" t="s">
        <v>43</v>
      </c>
      <c r="G423" s="24"/>
      <c r="H423" s="72">
        <f>H422/F422-1</f>
        <v>0.33122055674518203</v>
      </c>
      <c r="I423" s="72">
        <f>I422/H422-1</f>
        <v>-8.8952515763736861E-2</v>
      </c>
      <c r="J423" s="72">
        <f>J422/I422-1</f>
        <v>-0.15275963134291481</v>
      </c>
      <c r="K423" s="72">
        <f>K422/J422-1</f>
        <v>-0.31227858125286512</v>
      </c>
      <c r="L423" s="24"/>
      <c r="M423" s="72">
        <f>M422/K422-1</f>
        <v>-0.31002090845731989</v>
      </c>
      <c r="N423" s="72">
        <f>N422/M422-1</f>
        <v>0.45327184892402306</v>
      </c>
      <c r="O423" s="72">
        <f>O422/N422-1</f>
        <v>0.35109244205373069</v>
      </c>
      <c r="P423" s="72">
        <f>P422/O422-1</f>
        <v>-0.77910487821244057</v>
      </c>
      <c r="Q423" s="24"/>
      <c r="R423" s="85" t="s">
        <v>43</v>
      </c>
      <c r="S423" s="85" t="s">
        <v>43</v>
      </c>
      <c r="T423" s="85" t="s">
        <v>43</v>
      </c>
      <c r="U423" s="72">
        <f>U422/T422-1</f>
        <v>-0.19729246637559694</v>
      </c>
      <c r="V423" s="24"/>
      <c r="W423" s="72">
        <f>W422/U422-1</f>
        <v>-0.55431846389720374</v>
      </c>
      <c r="X423" s="85" t="s">
        <v>43</v>
      </c>
      <c r="Y423" s="72">
        <f>Y422/X422-1</f>
        <v>0.2091386554621848</v>
      </c>
      <c r="Z423" s="72">
        <v>0.39478180291315423</v>
      </c>
      <c r="AA423" s="24"/>
      <c r="AB423" s="72">
        <f>AB422/Z422-1</f>
        <v>-0.42696092679483388</v>
      </c>
      <c r="AC423" s="72">
        <f>AC422/AB422-1</f>
        <v>0.9584797652258974</v>
      </c>
      <c r="AD423" s="72">
        <f>AD422/AC422-1</f>
        <v>-7.3553352079325118E-2</v>
      </c>
      <c r="AE423" s="72">
        <f>AE422/AD422-1</f>
        <v>0.17470047923322674</v>
      </c>
      <c r="AF423" s="24"/>
      <c r="AG423" s="72">
        <v>-0.26906797667816884</v>
      </c>
      <c r="AH423" s="72">
        <v>0.67441860465116288</v>
      </c>
      <c r="AI423" s="72">
        <v>-0.38888888888888884</v>
      </c>
      <c r="AJ423" s="72">
        <v>2.2727272727272707E-2</v>
      </c>
      <c r="AK423" s="24"/>
      <c r="AL423" s="72">
        <v>-0.8</v>
      </c>
      <c r="AM423" s="72">
        <v>4.333333333333333</v>
      </c>
      <c r="AN423" s="72">
        <v>-0.14583333333333337</v>
      </c>
      <c r="AO423" s="72">
        <v>0.8292682926829269</v>
      </c>
      <c r="AP423" s="24"/>
      <c r="AQ423" s="72">
        <v>-0.84</v>
      </c>
      <c r="AR423" s="72">
        <v>2</v>
      </c>
      <c r="AS423" s="72">
        <v>0.13888888888888884</v>
      </c>
      <c r="AT423" s="72">
        <v>0.48780487804878048</v>
      </c>
      <c r="AU423" s="24"/>
      <c r="AV423" s="72">
        <v>-0.62295081967213117</v>
      </c>
      <c r="AW423" s="72">
        <v>0</v>
      </c>
      <c r="AX423" s="72">
        <v>0.95652173913043481</v>
      </c>
      <c r="AY423" s="72">
        <v>4.4444444444444509E-2</v>
      </c>
      <c r="AZ423" s="24"/>
      <c r="BA423" s="72">
        <v>-0.42553191489361697</v>
      </c>
      <c r="BB423" s="72">
        <v>-0.96296296296296302</v>
      </c>
      <c r="BC423" s="72">
        <v>37</v>
      </c>
      <c r="BD423" s="72">
        <v>0.89473684210526305</v>
      </c>
      <c r="BE423" s="24"/>
    </row>
    <row r="424" spans="1:57">
      <c r="A424" s="71" t="s">
        <v>8</v>
      </c>
      <c r="B424" s="24"/>
      <c r="C424" s="73"/>
      <c r="D424" s="73"/>
      <c r="E424" s="73"/>
      <c r="F424" s="73"/>
      <c r="G424" s="92" t="s">
        <v>43</v>
      </c>
      <c r="H424" s="83" t="s">
        <v>48</v>
      </c>
      <c r="I424" s="73">
        <f t="shared" ref="I424:N424" si="298">I422/D422-1</f>
        <v>1.83048475762119</v>
      </c>
      <c r="J424" s="73">
        <f t="shared" si="298"/>
        <v>-34.769176636171636</v>
      </c>
      <c r="K424" s="73">
        <f t="shared" si="298"/>
        <v>-0.29334047109207684</v>
      </c>
      <c r="L424" s="24">
        <f t="shared" si="298"/>
        <v>3.4104415011037528</v>
      </c>
      <c r="M424" s="73">
        <f t="shared" si="298"/>
        <v>-0.63373439711748814</v>
      </c>
      <c r="N424" s="73">
        <f t="shared" si="298"/>
        <v>-0.4157456124863167</v>
      </c>
      <c r="O424" s="73">
        <f t="shared" ref="O424:X424" si="299">O422/J422-1</f>
        <v>-6.8290751469178401E-2</v>
      </c>
      <c r="P424" s="73">
        <f t="shared" si="299"/>
        <v>-0.70073634132299034</v>
      </c>
      <c r="Q424" s="24">
        <f t="shared" si="299"/>
        <v>-0.4471978497745166</v>
      </c>
      <c r="R424" s="85" t="s">
        <v>43</v>
      </c>
      <c r="S424" s="73">
        <f t="shared" si="299"/>
        <v>-0.36103472243208135</v>
      </c>
      <c r="T424" s="85" t="s">
        <v>43</v>
      </c>
      <c r="U424" s="85" t="s">
        <v>43</v>
      </c>
      <c r="V424" s="92" t="s">
        <v>43</v>
      </c>
      <c r="W424" s="73">
        <f t="shared" si="299"/>
        <v>2.2393207747413069</v>
      </c>
      <c r="X424" s="73">
        <f t="shared" si="299"/>
        <v>0.35073779795686733</v>
      </c>
      <c r="Y424" s="85" t="s">
        <v>43</v>
      </c>
      <c r="Z424" s="85" t="s">
        <v>43</v>
      </c>
      <c r="AA424" s="92" t="s">
        <v>43</v>
      </c>
      <c r="AB424" s="85" t="s">
        <v>43</v>
      </c>
      <c r="AC424" s="73">
        <f t="shared" ref="AC424:AE424" si="300">AC422/X422-1</f>
        <v>0.89271708683473361</v>
      </c>
      <c r="AD424" s="73">
        <f t="shared" si="300"/>
        <v>0.45020704833058223</v>
      </c>
      <c r="AE424" s="73">
        <f t="shared" si="300"/>
        <v>0.22138022671594171</v>
      </c>
      <c r="AF424" s="24">
        <v>0.92393740535083357</v>
      </c>
      <c r="AG424" s="73">
        <v>0.55791456831274222</v>
      </c>
      <c r="AH424" s="73">
        <v>0.33195204972620984</v>
      </c>
      <c r="AI424" s="73">
        <v>-0.12140575079872207</v>
      </c>
      <c r="AJ424" s="73">
        <v>-0.23507113838413018</v>
      </c>
      <c r="AK424" s="24">
        <v>7.0495261484210259E-2</v>
      </c>
      <c r="AL424" s="73">
        <v>-0.79069767441860461</v>
      </c>
      <c r="AM424" s="73">
        <v>-0.33333333333333337</v>
      </c>
      <c r="AN424" s="73">
        <v>-6.8181818181818232E-2</v>
      </c>
      <c r="AO424" s="73">
        <v>0.66666666666666674</v>
      </c>
      <c r="AP424" s="24">
        <v>-0.15196078431372551</v>
      </c>
      <c r="AQ424" s="73">
        <v>0.33333333333333326</v>
      </c>
      <c r="AR424" s="73">
        <v>-0.25</v>
      </c>
      <c r="AS424" s="73">
        <v>0</v>
      </c>
      <c r="AT424" s="73">
        <v>-0.18666666666666665</v>
      </c>
      <c r="AU424" s="24">
        <v>-0.13294797687861271</v>
      </c>
      <c r="AV424" s="73">
        <v>0.91666666666666674</v>
      </c>
      <c r="AW424" s="73">
        <v>-0.36111111111111116</v>
      </c>
      <c r="AX424" s="73">
        <v>9.7560975609756184E-2</v>
      </c>
      <c r="AY424" s="73">
        <v>-0.22950819672131151</v>
      </c>
      <c r="AZ424" s="24">
        <v>-7.999999999999996E-2</v>
      </c>
      <c r="BA424" s="73">
        <v>0.17391304347826098</v>
      </c>
      <c r="BB424" s="73">
        <v>-0.95652173913043481</v>
      </c>
      <c r="BC424" s="73">
        <v>-0.15555555555555556</v>
      </c>
      <c r="BD424" s="73">
        <v>0.53191489361702127</v>
      </c>
      <c r="BE424" s="24">
        <v>0</v>
      </c>
    </row>
    <row r="425" spans="1:57" ht="11.25" customHeight="1">
      <c r="A425" s="50" t="s">
        <v>20</v>
      </c>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41"/>
      <c r="AG425" s="41"/>
      <c r="AH425" s="41"/>
      <c r="AI425" s="41"/>
      <c r="AJ425" s="41"/>
      <c r="AK425" s="41"/>
      <c r="AL425" s="41"/>
      <c r="AM425" s="41"/>
      <c r="AN425" s="41"/>
      <c r="AO425" s="41"/>
      <c r="AP425" s="41"/>
      <c r="AQ425" s="41"/>
      <c r="AR425" s="41"/>
      <c r="AS425" s="41"/>
      <c r="AT425" s="41"/>
      <c r="AU425" s="41"/>
      <c r="AV425" s="41"/>
      <c r="AW425" s="41"/>
      <c r="AX425" s="41"/>
      <c r="AY425" s="41"/>
      <c r="AZ425" s="41"/>
      <c r="BA425" s="41"/>
      <c r="BB425" s="41"/>
      <c r="BC425" s="41"/>
      <c r="BD425" s="41"/>
      <c r="BE425" s="41"/>
    </row>
    <row r="426" spans="1:57" s="36" customFormat="1" ht="11.25" customHeight="1">
      <c r="A426" s="69" t="s">
        <v>30</v>
      </c>
      <c r="B426" s="56">
        <f t="shared" ref="B426:Y426" si="301">B396/B359</f>
        <v>0.15616554786161335</v>
      </c>
      <c r="C426" s="78">
        <f t="shared" si="301"/>
        <v>0.17457789104810451</v>
      </c>
      <c r="D426" s="78">
        <f t="shared" si="301"/>
        <v>0.19199160370468116</v>
      </c>
      <c r="E426" s="78">
        <f t="shared" si="301"/>
        <v>0.17971432307584698</v>
      </c>
      <c r="F426" s="78">
        <f t="shared" si="301"/>
        <v>0.19294874076183022</v>
      </c>
      <c r="G426" s="56">
        <f t="shared" si="301"/>
        <v>0.18496085478476831</v>
      </c>
      <c r="H426" s="78">
        <f t="shared" si="301"/>
        <v>0.18538938025825139</v>
      </c>
      <c r="I426" s="78">
        <f t="shared" si="301"/>
        <v>0.2068971849911084</v>
      </c>
      <c r="J426" s="78">
        <f t="shared" si="301"/>
        <v>0.19960358994718541</v>
      </c>
      <c r="K426" s="78">
        <f t="shared" si="301"/>
        <v>0.1996939945685533</v>
      </c>
      <c r="L426" s="56">
        <f t="shared" si="301"/>
        <v>0.19793453282617476</v>
      </c>
      <c r="M426" s="78">
        <f t="shared" si="301"/>
        <v>0.17936581953835393</v>
      </c>
      <c r="N426" s="78">
        <f t="shared" si="301"/>
        <v>0.36380882352941174</v>
      </c>
      <c r="O426" s="78">
        <f t="shared" si="301"/>
        <v>0.20019172253776157</v>
      </c>
      <c r="P426" s="78">
        <f t="shared" si="301"/>
        <v>0.18587201261815234</v>
      </c>
      <c r="Q426" s="56">
        <f t="shared" si="301"/>
        <v>0.23168285560921686</v>
      </c>
      <c r="R426" s="78">
        <f t="shared" si="301"/>
        <v>0.18473802924649446</v>
      </c>
      <c r="S426" s="78">
        <f t="shared" si="301"/>
        <v>0.18144873827235511</v>
      </c>
      <c r="T426" s="78">
        <f t="shared" si="301"/>
        <v>0.17499244321001031</v>
      </c>
      <c r="U426" s="78">
        <f t="shared" si="301"/>
        <v>0.17179162415414739</v>
      </c>
      <c r="V426" s="56">
        <f t="shared" si="301"/>
        <v>0.17814320605318254</v>
      </c>
      <c r="W426" s="78">
        <f t="shared" si="301"/>
        <v>0.14922852791205882</v>
      </c>
      <c r="X426" s="78">
        <f t="shared" si="301"/>
        <v>0.16056913650241181</v>
      </c>
      <c r="Y426" s="78">
        <f t="shared" si="301"/>
        <v>0.16216319996219217</v>
      </c>
      <c r="Z426" s="78">
        <v>0.18149793230203701</v>
      </c>
      <c r="AA426" s="56">
        <f t="shared" ref="AA426:AE426" si="302">AA396/AA359</f>
        <v>0.16346259319149001</v>
      </c>
      <c r="AB426" s="78">
        <f t="shared" si="302"/>
        <v>0.16190071069750211</v>
      </c>
      <c r="AC426" s="78">
        <f t="shared" si="302"/>
        <v>0.16787737216510937</v>
      </c>
      <c r="AD426" s="78">
        <f t="shared" si="302"/>
        <v>0.15261773407781459</v>
      </c>
      <c r="AE426" s="78">
        <f t="shared" si="302"/>
        <v>0.15294576985334196</v>
      </c>
      <c r="AF426" s="56">
        <v>0.15876199868645224</v>
      </c>
      <c r="AG426" s="78">
        <v>0.16338028169014085</v>
      </c>
      <c r="AH426" s="78">
        <v>0.15890410958904111</v>
      </c>
      <c r="AI426" s="78">
        <v>0.15324675324675324</v>
      </c>
      <c r="AJ426" s="78">
        <v>0.14285714285714285</v>
      </c>
      <c r="AK426" s="56">
        <v>0.15425531914893617</v>
      </c>
      <c r="AL426" s="78">
        <v>0.15521628498727735</v>
      </c>
      <c r="AM426" s="78">
        <v>0.15856777493606139</v>
      </c>
      <c r="AN426" s="78">
        <v>0.15167095115681234</v>
      </c>
      <c r="AO426" s="78">
        <v>0.14320987654320988</v>
      </c>
      <c r="AP426" s="56">
        <v>0.15209125475285171</v>
      </c>
      <c r="AQ426" s="78">
        <v>9.3670886075949367E-2</v>
      </c>
      <c r="AR426" s="78">
        <v>0.12466843501326259</v>
      </c>
      <c r="AS426" s="78">
        <v>0.1171875</v>
      </c>
      <c r="AT426" s="78">
        <v>0.11989795918367346</v>
      </c>
      <c r="AU426" s="56">
        <v>0.11369509043927649</v>
      </c>
      <c r="AV426" s="78">
        <v>0.12760416666666666</v>
      </c>
      <c r="AW426" s="78">
        <v>0.11056511056511056</v>
      </c>
      <c r="AX426" s="78">
        <v>0.10626702997275204</v>
      </c>
      <c r="AY426" s="78">
        <v>0.10817941952506596</v>
      </c>
      <c r="AZ426" s="56">
        <v>0.11320754716981132</v>
      </c>
      <c r="BA426" s="78">
        <v>9.6590909090909088E-2</v>
      </c>
      <c r="BB426" s="78">
        <v>8.9285714285714288E-2</v>
      </c>
      <c r="BC426" s="78">
        <v>9.3093093093093091E-2</v>
      </c>
      <c r="BD426" s="78">
        <v>5.675675675675676E-2</v>
      </c>
      <c r="BE426" s="56">
        <v>8.3393242271746951E-2</v>
      </c>
    </row>
    <row r="427" spans="1:57" s="36" customFormat="1" ht="10.5" customHeight="1">
      <c r="A427" s="69" t="s">
        <v>38</v>
      </c>
      <c r="B427" s="56">
        <f t="shared" ref="B427:Y427" si="303">B399/B359</f>
        <v>0.1173805617114764</v>
      </c>
      <c r="C427" s="78">
        <f t="shared" si="303"/>
        <v>0.13220770946161198</v>
      </c>
      <c r="D427" s="78">
        <f t="shared" si="303"/>
        <v>0.14440645925525841</v>
      </c>
      <c r="E427" s="78">
        <f t="shared" si="303"/>
        <v>0.13382476819540617</v>
      </c>
      <c r="F427" s="78">
        <f t="shared" si="303"/>
        <v>0.13579071615834487</v>
      </c>
      <c r="G427" s="56">
        <f t="shared" si="303"/>
        <v>0.13658436841149996</v>
      </c>
      <c r="H427" s="78">
        <f t="shared" si="303"/>
        <v>0.13587167555240531</v>
      </c>
      <c r="I427" s="78">
        <f t="shared" si="303"/>
        <v>0.17077373719441832</v>
      </c>
      <c r="J427" s="78">
        <f t="shared" si="303"/>
        <v>0.15248553313843674</v>
      </c>
      <c r="K427" s="78">
        <f t="shared" si="303"/>
        <v>0.14796650108838524</v>
      </c>
      <c r="L427" s="56">
        <f t="shared" si="303"/>
        <v>0.15178330201537871</v>
      </c>
      <c r="M427" s="78">
        <f t="shared" si="303"/>
        <v>0.13543075308929819</v>
      </c>
      <c r="N427" s="78">
        <f t="shared" si="303"/>
        <v>0.31830294117647057</v>
      </c>
      <c r="O427" s="78">
        <f t="shared" si="303"/>
        <v>0.15378968670925247</v>
      </c>
      <c r="P427" s="78">
        <f t="shared" si="303"/>
        <v>0.13102762506714821</v>
      </c>
      <c r="Q427" s="56">
        <f t="shared" si="303"/>
        <v>0.1839744318778618</v>
      </c>
      <c r="R427" s="78">
        <f t="shared" si="303"/>
        <v>0.13953558971120833</v>
      </c>
      <c r="S427" s="78">
        <f t="shared" si="303"/>
        <v>0.13941421184510938</v>
      </c>
      <c r="T427" s="78">
        <f t="shared" si="303"/>
        <v>0.13094348661735267</v>
      </c>
      <c r="U427" s="78">
        <f t="shared" si="303"/>
        <v>0.1289800513668507</v>
      </c>
      <c r="V427" s="56">
        <f t="shared" si="303"/>
        <v>0.1346200729608851</v>
      </c>
      <c r="W427" s="78">
        <f t="shared" si="303"/>
        <v>0.10777431958148467</v>
      </c>
      <c r="X427" s="78">
        <f t="shared" si="303"/>
        <v>0.11785661228561119</v>
      </c>
      <c r="Y427" s="78">
        <f t="shared" si="303"/>
        <v>0.11900612605374623</v>
      </c>
      <c r="Z427" s="78">
        <v>0.13145492889711002</v>
      </c>
      <c r="AA427" s="56">
        <f t="shared" ref="AA427:AE427" si="304">AA399/AA359</f>
        <v>0.11909258669205749</v>
      </c>
      <c r="AB427" s="78">
        <f t="shared" si="304"/>
        <v>0.10847396809963654</v>
      </c>
      <c r="AC427" s="78">
        <f t="shared" si="304"/>
        <v>0.12140412104453313</v>
      </c>
      <c r="AD427" s="78">
        <f t="shared" si="304"/>
        <v>0.10780426222943963</v>
      </c>
      <c r="AE427" s="78">
        <f t="shared" si="304"/>
        <v>0.10405702557094716</v>
      </c>
      <c r="AF427" s="56">
        <v>0.11040641111811392</v>
      </c>
      <c r="AG427" s="78">
        <v>0.11830985915492957</v>
      </c>
      <c r="AH427" s="78">
        <v>0.11232876712328767</v>
      </c>
      <c r="AI427" s="78">
        <v>0.10909090909090909</v>
      </c>
      <c r="AJ427" s="78">
        <v>0.10025062656641603</v>
      </c>
      <c r="AK427" s="56">
        <v>0.10970744680851063</v>
      </c>
      <c r="AL427" s="78">
        <v>0.11195928753180662</v>
      </c>
      <c r="AM427" s="78">
        <v>0.11508951406649616</v>
      </c>
      <c r="AN427" s="78">
        <v>0.10539845758354756</v>
      </c>
      <c r="AO427" s="78">
        <v>0.1037037037037037</v>
      </c>
      <c r="AP427" s="56">
        <v>0.10899873257287707</v>
      </c>
      <c r="AQ427" s="78">
        <v>6.5822784810126586E-2</v>
      </c>
      <c r="AR427" s="78">
        <v>8.7533156498673742E-2</v>
      </c>
      <c r="AS427" s="78">
        <v>8.59375E-2</v>
      </c>
      <c r="AT427" s="78">
        <v>8.4183673469387751E-2</v>
      </c>
      <c r="AU427" s="56">
        <v>8.0749354005167959E-2</v>
      </c>
      <c r="AV427" s="78">
        <v>9.375E-2</v>
      </c>
      <c r="AW427" s="78">
        <v>8.1081081081081086E-2</v>
      </c>
      <c r="AX427" s="78">
        <v>7.3569482288828342E-2</v>
      </c>
      <c r="AY427" s="78">
        <v>8.1794195250659632E-2</v>
      </c>
      <c r="AZ427" s="56">
        <v>8.2628497072218601E-2</v>
      </c>
      <c r="BA427" s="78">
        <v>6.8181818181818177E-2</v>
      </c>
      <c r="BB427" s="78">
        <v>5.9523809523809521E-2</v>
      </c>
      <c r="BC427" s="78">
        <v>6.006006006006006E-2</v>
      </c>
      <c r="BD427" s="78">
        <v>3.5135135135135137E-2</v>
      </c>
      <c r="BE427" s="56">
        <v>5.5355859094176854E-2</v>
      </c>
    </row>
    <row r="428" spans="1:57" s="36" customFormat="1" ht="10.5" customHeight="1">
      <c r="A428" s="69" t="s">
        <v>10</v>
      </c>
      <c r="B428" s="56">
        <f t="shared" ref="B428:Y428" si="305">B402/B359</f>
        <v>0.22259349520528557</v>
      </c>
      <c r="C428" s="78">
        <f t="shared" si="305"/>
        <v>0.23829244982478498</v>
      </c>
      <c r="D428" s="78">
        <f t="shared" si="305"/>
        <v>0.25434084785397315</v>
      </c>
      <c r="E428" s="78">
        <f t="shared" si="305"/>
        <v>0.24024352786976974</v>
      </c>
      <c r="F428" s="78">
        <f t="shared" si="305"/>
        <v>0.25185059966546863</v>
      </c>
      <c r="G428" s="56">
        <f t="shared" si="305"/>
        <v>0.24628976266274769</v>
      </c>
      <c r="H428" s="78">
        <f t="shared" si="305"/>
        <v>0.2458350026194952</v>
      </c>
      <c r="I428" s="78">
        <f t="shared" si="305"/>
        <v>0.27017596483764039</v>
      </c>
      <c r="J428" s="78">
        <f t="shared" si="305"/>
        <v>0.26396758941783666</v>
      </c>
      <c r="K428" s="78">
        <f t="shared" si="305"/>
        <v>0.26720082878966184</v>
      </c>
      <c r="L428" s="56">
        <f t="shared" si="305"/>
        <v>0.26186110613599184</v>
      </c>
      <c r="M428" s="78">
        <f t="shared" si="305"/>
        <v>0.24519993005362553</v>
      </c>
      <c r="N428" s="78">
        <f t="shared" si="305"/>
        <v>0.43145588235294113</v>
      </c>
      <c r="O428" s="78">
        <f t="shared" si="305"/>
        <v>0.26789914127878356</v>
      </c>
      <c r="P428" s="78">
        <f t="shared" si="305"/>
        <v>0.25716343021727445</v>
      </c>
      <c r="Q428" s="56">
        <f t="shared" si="305"/>
        <v>0.29998645387908024</v>
      </c>
      <c r="R428" s="78">
        <f t="shared" si="305"/>
        <v>0.25840373762549068</v>
      </c>
      <c r="S428" s="78">
        <f t="shared" si="305"/>
        <v>0.2608703499267539</v>
      </c>
      <c r="T428" s="78">
        <f t="shared" si="305"/>
        <v>0.25476077769349659</v>
      </c>
      <c r="U428" s="78">
        <f t="shared" si="305"/>
        <v>0.26046394351991908</v>
      </c>
      <c r="V428" s="56">
        <f t="shared" si="305"/>
        <v>0.25858487206726938</v>
      </c>
      <c r="W428" s="78">
        <f t="shared" si="305"/>
        <v>0.25264130611458602</v>
      </c>
      <c r="X428" s="78">
        <f t="shared" si="305"/>
        <v>0.26499167760654629</v>
      </c>
      <c r="Y428" s="78">
        <f t="shared" si="305"/>
        <v>0.26407604104515087</v>
      </c>
      <c r="Z428" s="78">
        <v>0.27891242621676071</v>
      </c>
      <c r="AA428" s="56">
        <f t="shared" ref="AA428:AE428" si="306">AA402/AA359</f>
        <v>0.26522534972692685</v>
      </c>
      <c r="AB428" s="78">
        <f t="shared" si="306"/>
        <v>0.25245098039215685</v>
      </c>
      <c r="AC428" s="78">
        <f t="shared" si="306"/>
        <v>0.25856042191646411</v>
      </c>
      <c r="AD428" s="78">
        <f t="shared" si="306"/>
        <v>0.24424120748337153</v>
      </c>
      <c r="AE428" s="78">
        <f t="shared" si="306"/>
        <v>0.24303380809452912</v>
      </c>
      <c r="AF428" s="56">
        <v>0.24949590336420377</v>
      </c>
      <c r="AG428" s="78">
        <v>0.25352112676056338</v>
      </c>
      <c r="AH428" s="78">
        <v>0.24657534246575341</v>
      </c>
      <c r="AI428" s="78">
        <v>0.23636363636363636</v>
      </c>
      <c r="AJ428" s="78">
        <v>0.22807017543859648</v>
      </c>
      <c r="AK428" s="56">
        <v>0.24069148936170212</v>
      </c>
      <c r="AL428" s="78">
        <v>0.23664122137404581</v>
      </c>
      <c r="AM428" s="78">
        <v>0.24040920716112532</v>
      </c>
      <c r="AN428" s="78">
        <v>0.23650385604113111</v>
      </c>
      <c r="AO428" s="78">
        <v>0.22962962962962963</v>
      </c>
      <c r="AP428" s="56">
        <v>0.23574144486692014</v>
      </c>
      <c r="AQ428" s="78">
        <v>0.17721518987341772</v>
      </c>
      <c r="AR428" s="78">
        <v>0.21750663129973474</v>
      </c>
      <c r="AS428" s="78">
        <v>0.20833333333333334</v>
      </c>
      <c r="AT428" s="78">
        <v>0.2066326530612245</v>
      </c>
      <c r="AU428" s="56">
        <v>0.20219638242894056</v>
      </c>
      <c r="AV428" s="78">
        <v>0.21354166666666666</v>
      </c>
      <c r="AW428" s="78">
        <v>0.19164619164619165</v>
      </c>
      <c r="AX428" s="78">
        <v>0.1989100817438692</v>
      </c>
      <c r="AY428" s="78">
        <v>0.20052770448548812</v>
      </c>
      <c r="AZ428" s="56">
        <v>0.20104098893949252</v>
      </c>
      <c r="BA428" s="78">
        <v>0.21875</v>
      </c>
      <c r="BB428" s="78">
        <v>0.22321428571428573</v>
      </c>
      <c r="BC428" s="78">
        <v>0.23123123123123124</v>
      </c>
      <c r="BD428" s="78">
        <v>0.21891891891891893</v>
      </c>
      <c r="BE428" s="56">
        <v>0.22286125089863407</v>
      </c>
    </row>
    <row r="429" spans="1:57" s="36" customFormat="1" ht="11.25" customHeight="1">
      <c r="A429" s="69" t="s">
        <v>19</v>
      </c>
      <c r="B429" s="56">
        <f t="shared" ref="B429:AE429" si="307">B414/B359</f>
        <v>7.9387215475639816E-2</v>
      </c>
      <c r="C429" s="78">
        <f t="shared" si="307"/>
        <v>8.762981841350749E-2</v>
      </c>
      <c r="D429" s="78">
        <f t="shared" si="307"/>
        <v>9.4887957331107414E-2</v>
      </c>
      <c r="E429" s="78">
        <f t="shared" si="307"/>
        <v>0.10127024964039497</v>
      </c>
      <c r="F429" s="78">
        <f t="shared" si="307"/>
        <v>7.9866424665171951E-2</v>
      </c>
      <c r="G429" s="56">
        <f t="shared" si="307"/>
        <v>9.0871426175486048E-2</v>
      </c>
      <c r="H429" s="78">
        <f t="shared" si="307"/>
        <v>6.6097568492095291E-2</v>
      </c>
      <c r="I429" s="78">
        <f t="shared" si="307"/>
        <v>7.9871324373379682E-2</v>
      </c>
      <c r="J429" s="78">
        <f t="shared" si="307"/>
        <v>0.10068153655514252</v>
      </c>
      <c r="K429" s="78">
        <f t="shared" si="307"/>
        <v>0.11650962180483325</v>
      </c>
      <c r="L429" s="56">
        <f t="shared" si="307"/>
        <v>9.1016857053521846E-2</v>
      </c>
      <c r="M429" s="78">
        <f t="shared" si="307"/>
        <v>0.10705001165772908</v>
      </c>
      <c r="N429" s="78">
        <f t="shared" si="307"/>
        <v>9.6370588235294111E-2</v>
      </c>
      <c r="O429" s="78">
        <f t="shared" si="307"/>
        <v>8.6427713982215271E-2</v>
      </c>
      <c r="P429" s="78">
        <f t="shared" si="307"/>
        <v>0.229286914381722</v>
      </c>
      <c r="Q429" s="56">
        <f t="shared" si="307"/>
        <v>0.13021951235413473</v>
      </c>
      <c r="R429" s="78">
        <f t="shared" si="307"/>
        <v>0.13971469944475984</v>
      </c>
      <c r="S429" s="78">
        <f t="shared" si="307"/>
        <v>0.1412942446930433</v>
      </c>
      <c r="T429" s="78">
        <f t="shared" si="307"/>
        <v>0.26141930774100453</v>
      </c>
      <c r="U429" s="78">
        <f t="shared" si="307"/>
        <v>0.30418147275094104</v>
      </c>
      <c r="V429" s="56">
        <f t="shared" si="307"/>
        <v>0.21307444876706741</v>
      </c>
      <c r="W429" s="78">
        <f t="shared" si="307"/>
        <v>0.21385699923545101</v>
      </c>
      <c r="X429" s="78">
        <f t="shared" si="307"/>
        <v>0.10845488474470412</v>
      </c>
      <c r="Y429" s="78">
        <f t="shared" si="307"/>
        <v>8.7655145117174815E-2</v>
      </c>
      <c r="Z429" s="78">
        <f t="shared" si="307"/>
        <v>0.11447447482828094</v>
      </c>
      <c r="AA429" s="56">
        <f t="shared" si="307"/>
        <v>0.13085499251184785</v>
      </c>
      <c r="AB429" s="78">
        <f t="shared" si="307"/>
        <v>8.9369632150380809E-2</v>
      </c>
      <c r="AC429" s="78">
        <f t="shared" si="307"/>
        <v>7.6985259683785653E-2</v>
      </c>
      <c r="AD429" s="78">
        <f t="shared" si="307"/>
        <v>6.9619936377994782E-2</v>
      </c>
      <c r="AE429" s="78">
        <f t="shared" si="307"/>
        <v>5.6873734128307568E-2</v>
      </c>
      <c r="AF429" s="56">
        <v>7.2946569595347732E-2</v>
      </c>
      <c r="AG429" s="78">
        <v>8.6650704225352107E-2</v>
      </c>
      <c r="AH429" s="78">
        <v>6.5369863013698626E-2</v>
      </c>
      <c r="AI429" s="78">
        <v>7.1023376623376627E-2</v>
      </c>
      <c r="AJ429" s="78">
        <v>7.0263157894736861E-2</v>
      </c>
      <c r="AK429" s="56">
        <v>7.3138297872340427E-2</v>
      </c>
      <c r="AL429" s="78">
        <v>0.13475063613231553</v>
      </c>
      <c r="AM429" s="78">
        <v>6.5943734015345271E-2</v>
      </c>
      <c r="AN429" s="78">
        <v>7.2593830334190229E-2</v>
      </c>
      <c r="AO429" s="78">
        <v>5.1901234567901244E-2</v>
      </c>
      <c r="AP429" s="56">
        <v>8.1115335868187574E-2</v>
      </c>
      <c r="AQ429" s="78">
        <v>9.3670886075949367E-2</v>
      </c>
      <c r="AR429" s="78">
        <v>8.7533156498673742E-2</v>
      </c>
      <c r="AS429" s="78">
        <v>6.25E-2</v>
      </c>
      <c r="AT429" s="78">
        <v>6.6326530612244902E-2</v>
      </c>
      <c r="AU429" s="56">
        <v>7.7519379844961239E-2</v>
      </c>
      <c r="AV429" s="78">
        <v>7.5520833333333329E-2</v>
      </c>
      <c r="AW429" s="78">
        <v>0.11302211302211303</v>
      </c>
      <c r="AX429" s="78">
        <v>8.4468664850136238E-2</v>
      </c>
      <c r="AY429" s="78">
        <v>9.498680738786279E-2</v>
      </c>
      <c r="AZ429" s="56">
        <v>9.2387768379960961E-2</v>
      </c>
      <c r="BA429" s="78">
        <v>8.8068181818181823E-2</v>
      </c>
      <c r="BB429" s="78">
        <v>0.13095238095238096</v>
      </c>
      <c r="BC429" s="78">
        <v>8.1081081081081086E-2</v>
      </c>
      <c r="BD429" s="78">
        <v>6.7567567567567571E-2</v>
      </c>
      <c r="BE429" s="56">
        <v>9.1301222142343638E-2</v>
      </c>
    </row>
    <row r="430" spans="1:57" ht="4.5" customHeight="1">
      <c r="A430" s="54"/>
      <c r="B430" s="54"/>
      <c r="C430" s="55"/>
      <c r="D430" s="55"/>
      <c r="E430" s="55"/>
      <c r="F430" s="55"/>
      <c r="G430" s="54"/>
      <c r="H430" s="55"/>
      <c r="I430" s="55"/>
      <c r="J430" s="55"/>
      <c r="K430" s="55"/>
      <c r="L430" s="54"/>
      <c r="M430" s="55"/>
      <c r="N430" s="55"/>
      <c r="O430" s="55"/>
      <c r="P430" s="55"/>
      <c r="Q430" s="54"/>
      <c r="R430" s="55"/>
      <c r="S430" s="55"/>
      <c r="T430" s="55"/>
      <c r="U430" s="55"/>
      <c r="V430" s="54"/>
      <c r="W430" s="55"/>
      <c r="X430" s="55"/>
      <c r="Y430" s="55"/>
      <c r="Z430" s="55"/>
      <c r="AA430" s="54"/>
      <c r="AB430" s="55"/>
      <c r="AC430" s="55"/>
      <c r="AD430" s="55"/>
      <c r="AE430" s="55"/>
      <c r="AF430" s="54"/>
      <c r="AG430" s="55"/>
      <c r="AH430" s="55"/>
      <c r="AI430" s="55"/>
      <c r="AJ430" s="55"/>
      <c r="AK430" s="54"/>
      <c r="AL430" s="55"/>
      <c r="AM430" s="55"/>
      <c r="AN430" s="55"/>
      <c r="AO430" s="55"/>
      <c r="AP430" s="54"/>
      <c r="AQ430" s="55"/>
      <c r="AR430" s="55"/>
      <c r="AS430" s="55"/>
      <c r="AT430" s="55"/>
      <c r="AU430" s="54"/>
      <c r="AV430" s="55"/>
      <c r="AW430" s="55"/>
      <c r="AX430" s="55"/>
      <c r="AY430" s="55"/>
      <c r="AZ430" s="54"/>
      <c r="BA430" s="55"/>
      <c r="BB430" s="55"/>
      <c r="BC430" s="55"/>
      <c r="BD430" s="55"/>
      <c r="BE430" s="54"/>
    </row>
    <row r="431" spans="1:57" ht="21">
      <c r="A431" s="35" t="s">
        <v>21</v>
      </c>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c r="AR431" s="28"/>
      <c r="AS431" s="28"/>
      <c r="AT431" s="28"/>
      <c r="AU431" s="28"/>
      <c r="AV431" s="28"/>
      <c r="AW431" s="28"/>
      <c r="AX431" s="28"/>
      <c r="AY431" s="28"/>
      <c r="AZ431" s="28"/>
      <c r="BA431" s="28"/>
      <c r="BB431" s="28"/>
      <c r="BC431" s="28"/>
      <c r="BD431" s="28"/>
      <c r="BE431" s="28"/>
    </row>
    <row r="432" spans="1:57">
      <c r="A432" s="22"/>
      <c r="B432" s="22"/>
      <c r="C432" s="21"/>
      <c r="D432" s="21"/>
      <c r="E432" s="21"/>
      <c r="F432" s="21"/>
      <c r="G432" s="22"/>
      <c r="H432" s="21"/>
      <c r="I432" s="21"/>
      <c r="J432" s="21"/>
      <c r="K432" s="21"/>
      <c r="L432" s="22"/>
      <c r="M432" s="21"/>
      <c r="N432" s="21"/>
      <c r="O432" s="21"/>
      <c r="P432" s="21"/>
      <c r="Q432" s="22"/>
      <c r="R432" s="21"/>
      <c r="S432" s="21"/>
      <c r="T432" s="21"/>
      <c r="U432" s="21"/>
      <c r="V432" s="22"/>
      <c r="W432" s="21"/>
      <c r="X432" s="21"/>
      <c r="Y432" s="21"/>
      <c r="Z432" s="21"/>
      <c r="AA432" s="22"/>
      <c r="AB432" s="21"/>
      <c r="AC432" s="21"/>
      <c r="AD432" s="21"/>
      <c r="AE432" s="21"/>
      <c r="AF432" s="22"/>
      <c r="AG432" s="21"/>
      <c r="AH432" s="21"/>
      <c r="AI432" s="21"/>
      <c r="AJ432" s="21"/>
      <c r="AK432" s="22"/>
      <c r="AL432" s="21"/>
      <c r="AM432" s="21"/>
      <c r="AN432" s="21"/>
      <c r="AO432" s="21"/>
      <c r="AP432" s="22"/>
      <c r="AQ432" s="21"/>
      <c r="AR432" s="21"/>
      <c r="AS432" s="21"/>
      <c r="AT432" s="21"/>
      <c r="AU432" s="22"/>
      <c r="AV432" s="21"/>
      <c r="AW432" s="21"/>
      <c r="AX432" s="21"/>
      <c r="AY432" s="21"/>
      <c r="AZ432" s="22"/>
      <c r="BA432" s="21"/>
      <c r="BB432" s="21"/>
      <c r="BC432" s="21"/>
      <c r="BD432" s="21"/>
      <c r="BE432" s="22"/>
    </row>
    <row r="433" spans="1:57">
      <c r="A433" s="40" t="s">
        <v>76</v>
      </c>
      <c r="B433" s="41"/>
      <c r="C433" s="42"/>
      <c r="D433" s="42"/>
      <c r="E433" s="42"/>
      <c r="F433" s="42"/>
      <c r="G433" s="41"/>
      <c r="H433" s="42"/>
      <c r="I433" s="42"/>
      <c r="J433" s="42"/>
      <c r="K433" s="42"/>
      <c r="L433" s="41"/>
      <c r="M433" s="42"/>
      <c r="N433" s="42"/>
      <c r="O433" s="42"/>
      <c r="P433" s="42"/>
      <c r="Q433" s="41"/>
      <c r="R433" s="42"/>
      <c r="S433" s="42"/>
      <c r="T433" s="42"/>
      <c r="U433" s="42"/>
      <c r="V433" s="41"/>
      <c r="W433" s="42"/>
      <c r="X433" s="42"/>
      <c r="Y433" s="42"/>
      <c r="Z433" s="42"/>
      <c r="AA433" s="41"/>
      <c r="AB433" s="42"/>
      <c r="AC433" s="42"/>
      <c r="AD433" s="42"/>
      <c r="AE433" s="42"/>
      <c r="AF433" s="41"/>
      <c r="AG433" s="42"/>
      <c r="AH433" s="42"/>
      <c r="AI433" s="42"/>
      <c r="AJ433" s="42"/>
      <c r="AK433" s="41"/>
      <c r="AL433" s="42"/>
      <c r="AM433" s="42"/>
      <c r="AN433" s="42"/>
      <c r="AO433" s="42"/>
      <c r="AP433" s="41"/>
      <c r="AQ433" s="42"/>
      <c r="AR433" s="42"/>
      <c r="AS433" s="42"/>
      <c r="AT433" s="42"/>
      <c r="AU433" s="41"/>
      <c r="AV433" s="42"/>
      <c r="AW433" s="42"/>
      <c r="AX433" s="42"/>
      <c r="AY433" s="42"/>
      <c r="AZ433" s="41"/>
      <c r="BA433" s="42"/>
      <c r="BB433" s="42"/>
      <c r="BC433" s="42"/>
      <c r="BD433" s="42"/>
      <c r="BE433" s="41"/>
    </row>
    <row r="434" spans="1:57" s="36" customFormat="1">
      <c r="A434" s="69" t="s">
        <v>16</v>
      </c>
      <c r="B434" s="37">
        <v>1414.8230000000001</v>
      </c>
      <c r="C434" s="70">
        <v>381.36200000000002</v>
      </c>
      <c r="D434" s="70">
        <v>379.875</v>
      </c>
      <c r="E434" s="70">
        <v>375.15</v>
      </c>
      <c r="F434" s="70">
        <f>G434-E434-D434-C434</f>
        <v>376.24499999999995</v>
      </c>
      <c r="G434" s="37">
        <v>1512.6320000000001</v>
      </c>
      <c r="H434" s="70">
        <v>383.78199999999998</v>
      </c>
      <c r="I434" s="70">
        <v>376.09800000000001</v>
      </c>
      <c r="J434" s="70">
        <v>380.45100000000002</v>
      </c>
      <c r="K434" s="70">
        <f>L434-J434-I434-H434</f>
        <v>390.10399999999998</v>
      </c>
      <c r="L434" s="37">
        <v>1530.4349999999999</v>
      </c>
      <c r="M434" s="70">
        <v>391.416</v>
      </c>
      <c r="N434" s="70">
        <v>395.947</v>
      </c>
      <c r="O434" s="70">
        <v>395.34699999999998</v>
      </c>
      <c r="P434" s="70">
        <f>Q434-O434-N434-M434</f>
        <v>400.22000000000008</v>
      </c>
      <c r="Q434" s="37">
        <v>1582.93</v>
      </c>
      <c r="R434" s="70">
        <v>405.55</v>
      </c>
      <c r="S434" s="70">
        <v>403.96</v>
      </c>
      <c r="T434" s="70">
        <v>405.46800000000002</v>
      </c>
      <c r="U434" s="70">
        <f>V434-T434-S434-R434</f>
        <v>403.83099999999985</v>
      </c>
      <c r="V434" s="37">
        <v>1618.809</v>
      </c>
      <c r="W434" s="70">
        <v>416.70400000000001</v>
      </c>
      <c r="X434" s="70">
        <v>408.73200000000003</v>
      </c>
      <c r="Y434" s="70">
        <v>402.72</v>
      </c>
      <c r="Z434" s="70">
        <f>AA434-Y434-X434-W434</f>
        <v>407.83799999999991</v>
      </c>
      <c r="AA434" s="37">
        <v>1635.9939999999999</v>
      </c>
      <c r="AB434" s="70">
        <v>403.541</v>
      </c>
      <c r="AC434" s="70">
        <v>403.84</v>
      </c>
      <c r="AD434" s="70">
        <v>410.26400000000001</v>
      </c>
      <c r="AE434" s="70">
        <f>AF434-AD434-AC434-AB434</f>
        <v>417.57099999999986</v>
      </c>
      <c r="AF434" s="37">
        <v>1635.2159999999999</v>
      </c>
      <c r="AG434" s="70">
        <v>424</v>
      </c>
      <c r="AH434" s="70">
        <v>428</v>
      </c>
      <c r="AI434" s="70">
        <v>432</v>
      </c>
      <c r="AJ434" s="70">
        <v>440</v>
      </c>
      <c r="AK434" s="37">
        <v>1724</v>
      </c>
      <c r="AL434" s="70">
        <v>440</v>
      </c>
      <c r="AM434" s="70">
        <v>439</v>
      </c>
      <c r="AN434" s="70">
        <v>446</v>
      </c>
      <c r="AO434" s="70">
        <v>449</v>
      </c>
      <c r="AP434" s="37">
        <v>1774</v>
      </c>
      <c r="AQ434" s="70">
        <v>439</v>
      </c>
      <c r="AR434" s="70">
        <v>434</v>
      </c>
      <c r="AS434" s="70">
        <v>434</v>
      </c>
      <c r="AT434" s="70">
        <v>438</v>
      </c>
      <c r="AU434" s="37">
        <v>1745</v>
      </c>
      <c r="AV434" s="70">
        <v>424</v>
      </c>
      <c r="AW434" s="70">
        <v>416</v>
      </c>
      <c r="AX434" s="70">
        <v>406</v>
      </c>
      <c r="AY434" s="70">
        <v>404</v>
      </c>
      <c r="AZ434" s="37">
        <v>1650</v>
      </c>
      <c r="BA434" s="70">
        <v>375</v>
      </c>
      <c r="BB434" s="70">
        <v>375</v>
      </c>
      <c r="BC434" s="70">
        <v>367</v>
      </c>
      <c r="BD434" s="70">
        <v>356</v>
      </c>
      <c r="BE434" s="37">
        <v>1473</v>
      </c>
    </row>
    <row r="435" spans="1:57">
      <c r="A435" s="71" t="s">
        <v>7</v>
      </c>
      <c r="B435" s="24"/>
      <c r="C435" s="72"/>
      <c r="D435" s="72">
        <f>D434/C434-1</f>
        <v>-3.8991824041200163E-3</v>
      </c>
      <c r="E435" s="72">
        <f>E434/D434-1</f>
        <v>-1.2438302073050411E-2</v>
      </c>
      <c r="F435" s="72">
        <f>F434/E434-1</f>
        <v>2.9188324670130772E-3</v>
      </c>
      <c r="G435" s="24"/>
      <c r="H435" s="72">
        <f>H434/F434-1</f>
        <v>2.003215989581264E-2</v>
      </c>
      <c r="I435" s="72">
        <f>I434/H434-1</f>
        <v>-2.0021783199837273E-2</v>
      </c>
      <c r="J435" s="72">
        <f>J434/I434-1</f>
        <v>1.1574111002983223E-2</v>
      </c>
      <c r="K435" s="72">
        <f>K434/J434-1</f>
        <v>2.5372518405786693E-2</v>
      </c>
      <c r="L435" s="24"/>
      <c r="M435" s="72">
        <f>M434/K434-1</f>
        <v>3.3632057092467527E-3</v>
      </c>
      <c r="N435" s="72">
        <f>N434/M434-1</f>
        <v>1.1575919226602949E-2</v>
      </c>
      <c r="O435" s="72">
        <f>O434/N434-1</f>
        <v>-1.5153543277257597E-3</v>
      </c>
      <c r="P435" s="72">
        <f>P434/O434-1</f>
        <v>1.2325880808505163E-2</v>
      </c>
      <c r="Q435" s="24"/>
      <c r="R435" s="72">
        <f>R434/P434-1</f>
        <v>1.3317675278596619E-2</v>
      </c>
      <c r="S435" s="72">
        <f>S434/R434-1</f>
        <v>-3.9206016520775266E-3</v>
      </c>
      <c r="T435" s="72">
        <f>T434/S434-1</f>
        <v>3.733042875532222E-3</v>
      </c>
      <c r="U435" s="72">
        <f>U434/T434-1</f>
        <v>-4.0373099726739303E-3</v>
      </c>
      <c r="V435" s="24"/>
      <c r="W435" s="72">
        <f>W434/U434-1</f>
        <v>3.1877196153837106E-2</v>
      </c>
      <c r="X435" s="72">
        <f>X434/W434-1</f>
        <v>-1.9131085854707353E-2</v>
      </c>
      <c r="Y435" s="72">
        <f>Y434/X434-1</f>
        <v>-1.4708904612313223E-2</v>
      </c>
      <c r="Z435" s="72">
        <v>1.270858164481492E-2</v>
      </c>
      <c r="AA435" s="24"/>
      <c r="AB435" s="72">
        <f>AB434/Z434-1</f>
        <v>-1.0536046175196767E-2</v>
      </c>
      <c r="AC435" s="72">
        <f>AC434/AB434-1</f>
        <v>7.4094082137876605E-4</v>
      </c>
      <c r="AD435" s="72">
        <f>AD434/AC434-1</f>
        <v>1.5907290015847897E-2</v>
      </c>
      <c r="AE435" s="72">
        <f>AE434/AD434-1</f>
        <v>1.7810483006063915E-2</v>
      </c>
      <c r="AF435" s="24"/>
      <c r="AG435" s="72">
        <v>1.5396184121982071E-2</v>
      </c>
      <c r="AH435" s="72">
        <v>9.4339622641510523E-3</v>
      </c>
      <c r="AI435" s="72">
        <v>9.3457943925232545E-3</v>
      </c>
      <c r="AJ435" s="72">
        <v>1.8518518518518601E-2</v>
      </c>
      <c r="AK435" s="24"/>
      <c r="AL435" s="72">
        <v>0</v>
      </c>
      <c r="AM435" s="72">
        <v>-2.2727272727273151E-3</v>
      </c>
      <c r="AN435" s="72">
        <v>1.5945330296127658E-2</v>
      </c>
      <c r="AO435" s="72">
        <v>6.7264573991030474E-3</v>
      </c>
      <c r="AP435" s="24"/>
      <c r="AQ435" s="72">
        <v>-2.2271714922049046E-2</v>
      </c>
      <c r="AR435" s="72">
        <v>-1.1389521640091105E-2</v>
      </c>
      <c r="AS435" s="72">
        <v>0</v>
      </c>
      <c r="AT435" s="72">
        <v>9.2165898617511122E-3</v>
      </c>
      <c r="AU435" s="24"/>
      <c r="AV435" s="72">
        <v>-3.1963470319634757E-2</v>
      </c>
      <c r="AW435" s="72">
        <v>-1.8867924528301883E-2</v>
      </c>
      <c r="AX435" s="72">
        <v>-2.4038461538461564E-2</v>
      </c>
      <c r="AY435" s="72">
        <v>-4.9261083743842304E-3</v>
      </c>
      <c r="AZ435" s="24"/>
      <c r="BA435" s="72">
        <v>-7.1782178217821735E-2</v>
      </c>
      <c r="BB435" s="72">
        <v>0</v>
      </c>
      <c r="BC435" s="72">
        <v>-2.1333333333333315E-2</v>
      </c>
      <c r="BD435" s="72">
        <v>-2.9972752043596729E-2</v>
      </c>
      <c r="BE435" s="24"/>
    </row>
    <row r="436" spans="1:57">
      <c r="A436" s="71" t="s">
        <v>8</v>
      </c>
      <c r="B436" s="24"/>
      <c r="C436" s="73"/>
      <c r="D436" s="73"/>
      <c r="E436" s="73"/>
      <c r="F436" s="73"/>
      <c r="G436" s="24">
        <f t="shared" ref="G436:N436" si="308">G434/B434-1</f>
        <v>6.9131615756882647E-2</v>
      </c>
      <c r="H436" s="73">
        <f t="shared" si="308"/>
        <v>6.345676811008838E-3</v>
      </c>
      <c r="I436" s="73">
        <f t="shared" si="308"/>
        <v>-9.9427443237907198E-3</v>
      </c>
      <c r="J436" s="73">
        <f t="shared" si="308"/>
        <v>1.4130347860855874E-2</v>
      </c>
      <c r="K436" s="73">
        <f t="shared" si="308"/>
        <v>3.6835040997222679E-2</v>
      </c>
      <c r="L436" s="24">
        <f t="shared" si="308"/>
        <v>1.1769551351551444E-2</v>
      </c>
      <c r="M436" s="73">
        <f t="shared" si="308"/>
        <v>1.9891500904159143E-2</v>
      </c>
      <c r="N436" s="73">
        <f t="shared" si="308"/>
        <v>5.277613813420956E-2</v>
      </c>
      <c r="O436" s="73">
        <f t="shared" ref="O436:Y436" si="309">O434/J434-1</f>
        <v>3.9153530940909453E-2</v>
      </c>
      <c r="P436" s="73">
        <f t="shared" si="309"/>
        <v>2.5931546459405874E-2</v>
      </c>
      <c r="Q436" s="24">
        <f t="shared" si="309"/>
        <v>3.4300705355013505E-2</v>
      </c>
      <c r="R436" s="73">
        <f t="shared" si="309"/>
        <v>3.6109918858707957E-2</v>
      </c>
      <c r="S436" s="73">
        <f t="shared" si="309"/>
        <v>2.0237557046776322E-2</v>
      </c>
      <c r="T436" s="73">
        <f t="shared" si="309"/>
        <v>2.5600295436667198E-2</v>
      </c>
      <c r="U436" s="73">
        <f t="shared" si="309"/>
        <v>9.022537604316927E-3</v>
      </c>
      <c r="V436" s="24">
        <f t="shared" si="309"/>
        <v>2.2666194967560171E-2</v>
      </c>
      <c r="W436" s="73">
        <f t="shared" si="309"/>
        <v>2.7503390457403576E-2</v>
      </c>
      <c r="X436" s="73">
        <f t="shared" si="309"/>
        <v>1.1813050797108815E-2</v>
      </c>
      <c r="Y436" s="73">
        <f t="shared" si="309"/>
        <v>-6.777353576607803E-3</v>
      </c>
      <c r="Z436" s="73">
        <v>9.9224675668783124E-3</v>
      </c>
      <c r="AA436" s="24">
        <v>1.0615829291781731E-2</v>
      </c>
      <c r="AB436" s="73">
        <f t="shared" ref="AB436:AE436" si="310">AB434/W434-1</f>
        <v>-3.1588369682076567E-2</v>
      </c>
      <c r="AC436" s="73">
        <f t="shared" si="310"/>
        <v>-1.1968722781676155E-2</v>
      </c>
      <c r="AD436" s="73">
        <f t="shared" si="310"/>
        <v>1.873261819626526E-2</v>
      </c>
      <c r="AE436" s="73">
        <f t="shared" si="310"/>
        <v>2.3864867913239829E-2</v>
      </c>
      <c r="AF436" s="24">
        <v>-4.7555186632719515E-4</v>
      </c>
      <c r="AG436" s="73">
        <v>5.0698689848119427E-2</v>
      </c>
      <c r="AH436" s="73">
        <v>5.9825673534072976E-2</v>
      </c>
      <c r="AI436" s="73">
        <v>5.2980519860382547E-2</v>
      </c>
      <c r="AJ436" s="73">
        <v>5.3713021258660509E-2</v>
      </c>
      <c r="AK436" s="24">
        <v>5.4294967759610957E-2</v>
      </c>
      <c r="AL436" s="73">
        <v>3.7735849056603765E-2</v>
      </c>
      <c r="AM436" s="73">
        <v>2.5700934579439227E-2</v>
      </c>
      <c r="AN436" s="73">
        <v>3.240740740740744E-2</v>
      </c>
      <c r="AO436" s="73">
        <v>2.0454545454545503E-2</v>
      </c>
      <c r="AP436" s="24">
        <v>2.9002320185614883E-2</v>
      </c>
      <c r="AQ436" s="73">
        <v>-2.2727272727273151E-3</v>
      </c>
      <c r="AR436" s="73">
        <v>-1.1389521640091105E-2</v>
      </c>
      <c r="AS436" s="73">
        <v>-2.6905829596412523E-2</v>
      </c>
      <c r="AT436" s="73">
        <v>-2.4498886414253906E-2</v>
      </c>
      <c r="AU436" s="24">
        <v>-1.6347237880496079E-2</v>
      </c>
      <c r="AV436" s="73">
        <v>-3.4168564920273314E-2</v>
      </c>
      <c r="AW436" s="73">
        <v>-4.1474654377880227E-2</v>
      </c>
      <c r="AX436" s="73">
        <v>-6.4516129032258118E-2</v>
      </c>
      <c r="AY436" s="73">
        <v>-7.7625570776255759E-2</v>
      </c>
      <c r="AZ436" s="24">
        <v>-5.4441260744985676E-2</v>
      </c>
      <c r="BA436" s="73">
        <v>-0.11556603773584906</v>
      </c>
      <c r="BB436" s="73">
        <v>-9.8557692307692291E-2</v>
      </c>
      <c r="BC436" s="73">
        <v>-9.605911330049266E-2</v>
      </c>
      <c r="BD436" s="73">
        <v>-0.11881188118811881</v>
      </c>
      <c r="BE436" s="24">
        <v>-0.1072727272727273</v>
      </c>
    </row>
    <row r="437" spans="1:57" s="36" customFormat="1">
      <c r="A437" s="69" t="s">
        <v>273</v>
      </c>
      <c r="B437" s="37">
        <v>273.202</v>
      </c>
      <c r="C437" s="70">
        <v>64.709999999999994</v>
      </c>
      <c r="D437" s="70">
        <v>60.594999999999999</v>
      </c>
      <c r="E437" s="70">
        <v>58.738</v>
      </c>
      <c r="F437" s="70">
        <f>G437-E437-D437-C437</f>
        <v>65.837000000000003</v>
      </c>
      <c r="G437" s="37">
        <v>249.88</v>
      </c>
      <c r="H437" s="70">
        <v>56.545000000000002</v>
      </c>
      <c r="I437" s="70">
        <v>55.561999999999998</v>
      </c>
      <c r="J437" s="70">
        <v>58.927999999999997</v>
      </c>
      <c r="K437" s="70">
        <f>L437-J437-I437-H437</f>
        <v>63.168000000000006</v>
      </c>
      <c r="L437" s="37">
        <v>234.203</v>
      </c>
      <c r="M437" s="70">
        <v>63.753999999999998</v>
      </c>
      <c r="N437" s="70">
        <v>68.176000000000002</v>
      </c>
      <c r="O437" s="70">
        <v>67.78</v>
      </c>
      <c r="P437" s="70">
        <f>Q437-O437-N437-M437</f>
        <v>85.02200000000002</v>
      </c>
      <c r="Q437" s="37">
        <v>284.73200000000003</v>
      </c>
      <c r="R437" s="70">
        <v>68.593000000000004</v>
      </c>
      <c r="S437" s="70">
        <v>71.131</v>
      </c>
      <c r="T437" s="70">
        <v>74.073999999999998</v>
      </c>
      <c r="U437" s="70">
        <f>V437-T437-S437-R437</f>
        <v>62.594999999999956</v>
      </c>
      <c r="V437" s="37">
        <v>276.39299999999997</v>
      </c>
      <c r="W437" s="70">
        <v>65.841999999999999</v>
      </c>
      <c r="X437" s="70">
        <v>53.802</v>
      </c>
      <c r="Y437" s="70">
        <v>64.432000000000002</v>
      </c>
      <c r="Z437" s="70">
        <f>AA437-Y437-X437-W437</f>
        <v>64.173999999999992</v>
      </c>
      <c r="AA437" s="37">
        <v>248.25</v>
      </c>
      <c r="AB437" s="70">
        <v>61.953000000000003</v>
      </c>
      <c r="AC437" s="70">
        <v>64.105000000000004</v>
      </c>
      <c r="AD437" s="70">
        <v>66.006</v>
      </c>
      <c r="AE437" s="70">
        <f>AF437-AD437-AC437-AB437</f>
        <v>70.671000000000021</v>
      </c>
      <c r="AF437" s="37">
        <v>262.73500000000001</v>
      </c>
      <c r="AG437" s="70">
        <v>70</v>
      </c>
      <c r="AH437" s="70">
        <v>74</v>
      </c>
      <c r="AI437" s="70">
        <v>75</v>
      </c>
      <c r="AJ437" s="70">
        <v>78</v>
      </c>
      <c r="AK437" s="37">
        <v>297</v>
      </c>
      <c r="AL437" s="70">
        <v>76</v>
      </c>
      <c r="AM437" s="70">
        <v>80</v>
      </c>
      <c r="AN437" s="70">
        <v>78</v>
      </c>
      <c r="AO437" s="70">
        <v>88</v>
      </c>
      <c r="AP437" s="37">
        <v>322</v>
      </c>
      <c r="AQ437" s="70">
        <v>76</v>
      </c>
      <c r="AR437" s="70">
        <v>74</v>
      </c>
      <c r="AS437" s="70">
        <v>75</v>
      </c>
      <c r="AT437" s="70">
        <v>71</v>
      </c>
      <c r="AU437" s="37">
        <v>296</v>
      </c>
      <c r="AV437" s="147">
        <v>70</v>
      </c>
      <c r="AW437" s="147">
        <v>71</v>
      </c>
      <c r="AX437" s="147">
        <v>72</v>
      </c>
      <c r="AY437" s="147">
        <v>72</v>
      </c>
      <c r="AZ437" s="37">
        <v>285</v>
      </c>
      <c r="BA437" s="70">
        <v>79</v>
      </c>
      <c r="BB437" s="70">
        <v>79</v>
      </c>
      <c r="BC437" s="70">
        <v>81</v>
      </c>
      <c r="BD437" s="70">
        <v>84</v>
      </c>
      <c r="BE437" s="37">
        <v>323</v>
      </c>
    </row>
    <row r="438" spans="1:57">
      <c r="A438" s="82" t="s">
        <v>7</v>
      </c>
      <c r="B438" s="24"/>
      <c r="C438" s="72"/>
      <c r="D438" s="72">
        <f>D437/C437-1</f>
        <v>-6.3591407819502344E-2</v>
      </c>
      <c r="E438" s="72">
        <f>E437/D437-1</f>
        <v>-3.0646092911956413E-2</v>
      </c>
      <c r="F438" s="72">
        <f>F437/E437-1</f>
        <v>0.12085872859137181</v>
      </c>
      <c r="G438" s="24"/>
      <c r="H438" s="72">
        <f>H437/F437-1</f>
        <v>-0.14113644303355255</v>
      </c>
      <c r="I438" s="72">
        <f>I437/H437-1</f>
        <v>-1.7384384118843466E-2</v>
      </c>
      <c r="J438" s="72">
        <f>J437/I437-1</f>
        <v>6.0580972607177541E-2</v>
      </c>
      <c r="K438" s="72">
        <f>K437/J437-1</f>
        <v>7.1952212869943244E-2</v>
      </c>
      <c r="L438" s="24"/>
      <c r="M438" s="72">
        <f>M437/K437-1</f>
        <v>9.276849037487267E-3</v>
      </c>
      <c r="N438" s="72">
        <f>N437/M437-1</f>
        <v>6.9360353860149937E-2</v>
      </c>
      <c r="O438" s="72">
        <f>O437/N437-1</f>
        <v>-5.8084956582962199E-3</v>
      </c>
      <c r="P438" s="72">
        <f>P437/O437-1</f>
        <v>0.25438182354676919</v>
      </c>
      <c r="Q438" s="24"/>
      <c r="R438" s="72">
        <f>R437/P437-1</f>
        <v>-0.19323233986497623</v>
      </c>
      <c r="S438" s="72">
        <f>S437/R437-1</f>
        <v>3.7000860146078951E-2</v>
      </c>
      <c r="T438" s="72">
        <f>T437/S437-1</f>
        <v>4.1374365607119268E-2</v>
      </c>
      <c r="U438" s="72">
        <f>U437/T437-1</f>
        <v>-0.15496665496665551</v>
      </c>
      <c r="V438" s="24"/>
      <c r="W438" s="72">
        <f>W437/U437-1</f>
        <v>5.187315280773297E-2</v>
      </c>
      <c r="X438" s="72">
        <f>X437/W437-1</f>
        <v>-0.18286200297682331</v>
      </c>
      <c r="Y438" s="72">
        <f>Y437/X437-1</f>
        <v>0.19757629827887446</v>
      </c>
      <c r="Z438" s="72">
        <v>-4.0042215048424756E-3</v>
      </c>
      <c r="AA438" s="24"/>
      <c r="AB438" s="72">
        <f>AB437/Z437-1</f>
        <v>-3.4609031695078896E-2</v>
      </c>
      <c r="AC438" s="72">
        <f>AC437/AB437-1</f>
        <v>3.4736009555630831E-2</v>
      </c>
      <c r="AD438" s="72">
        <f>AD437/AC437-1</f>
        <v>2.9654473130021008E-2</v>
      </c>
      <c r="AE438" s="72">
        <f>AE437/AD437-1</f>
        <v>7.0675393146077958E-2</v>
      </c>
      <c r="AF438" s="24"/>
      <c r="AG438" s="72">
        <v>-9.4947007966496022E-3</v>
      </c>
      <c r="AH438" s="72">
        <v>5.7142857142857162E-2</v>
      </c>
      <c r="AI438" s="72">
        <v>1.3513513513513598E-2</v>
      </c>
      <c r="AJ438" s="72">
        <v>4.0000000000000036E-2</v>
      </c>
      <c r="AK438" s="24"/>
      <c r="AL438" s="72">
        <v>-2.5641025641025661E-2</v>
      </c>
      <c r="AM438" s="72">
        <v>5.2631578947368363E-2</v>
      </c>
      <c r="AN438" s="72">
        <v>-2.5000000000000022E-2</v>
      </c>
      <c r="AO438" s="72">
        <v>0.12820512820512819</v>
      </c>
      <c r="AP438" s="24"/>
      <c r="AQ438" s="72">
        <v>-0.13636363636363635</v>
      </c>
      <c r="AR438" s="72">
        <v>-2.6315789473684181E-2</v>
      </c>
      <c r="AS438" s="72">
        <v>1.3513513513513598E-2</v>
      </c>
      <c r="AT438" s="72">
        <v>-5.3333333333333344E-2</v>
      </c>
      <c r="AU438" s="24"/>
      <c r="AV438" s="72">
        <v>-1.4084507042253502E-2</v>
      </c>
      <c r="AW438" s="72">
        <v>1.4285714285714235E-2</v>
      </c>
      <c r="AX438" s="72">
        <v>1.4084507042253502E-2</v>
      </c>
      <c r="AY438" s="72">
        <v>0</v>
      </c>
      <c r="AZ438" s="24"/>
      <c r="BA438" s="72">
        <v>9.7222222222222321E-2</v>
      </c>
      <c r="BB438" s="72">
        <v>0</v>
      </c>
      <c r="BC438" s="72">
        <v>2.5316455696202445E-2</v>
      </c>
      <c r="BD438" s="72">
        <v>3.7037037037036979E-2</v>
      </c>
      <c r="BE438" s="24"/>
    </row>
    <row r="439" spans="1:57">
      <c r="A439" s="82" t="s">
        <v>8</v>
      </c>
      <c r="B439" s="24"/>
      <c r="C439" s="73"/>
      <c r="D439" s="73"/>
      <c r="E439" s="73"/>
      <c r="F439" s="73"/>
      <c r="G439" s="24">
        <f t="shared" ref="G439:N439" si="311">G437/B437-1</f>
        <v>-8.5365407281059458E-2</v>
      </c>
      <c r="H439" s="73">
        <f t="shared" si="311"/>
        <v>-0.12617833410601131</v>
      </c>
      <c r="I439" s="73">
        <f t="shared" si="311"/>
        <v>-8.3059658387655722E-2</v>
      </c>
      <c r="J439" s="73">
        <f t="shared" si="311"/>
        <v>3.2347032585378077E-3</v>
      </c>
      <c r="K439" s="73">
        <f t="shared" si="311"/>
        <v>-4.0539514254902209E-2</v>
      </c>
      <c r="L439" s="24">
        <f t="shared" si="311"/>
        <v>-6.2738114294861536E-2</v>
      </c>
      <c r="M439" s="73">
        <f t="shared" si="311"/>
        <v>0.12749137854805892</v>
      </c>
      <c r="N439" s="73">
        <f t="shared" si="311"/>
        <v>0.22702566502285748</v>
      </c>
      <c r="O439" s="73">
        <f t="shared" ref="O439:Y439" si="312">O437/J437-1</f>
        <v>0.15021721422753198</v>
      </c>
      <c r="P439" s="73">
        <f t="shared" si="312"/>
        <v>0.34596631205673778</v>
      </c>
      <c r="Q439" s="24">
        <f t="shared" si="312"/>
        <v>0.21574873080191126</v>
      </c>
      <c r="R439" s="73">
        <f t="shared" si="312"/>
        <v>7.5901119929729921E-2</v>
      </c>
      <c r="S439" s="73">
        <f t="shared" si="312"/>
        <v>4.3343698662285712E-2</v>
      </c>
      <c r="T439" s="73">
        <f t="shared" si="312"/>
        <v>9.2859250516376557E-2</v>
      </c>
      <c r="U439" s="73">
        <f t="shared" si="312"/>
        <v>-0.26377878666698096</v>
      </c>
      <c r="V439" s="24">
        <f t="shared" si="312"/>
        <v>-2.928718935700958E-2</v>
      </c>
      <c r="W439" s="73">
        <f t="shared" si="312"/>
        <v>-4.0106133278906109E-2</v>
      </c>
      <c r="X439" s="73">
        <f t="shared" si="312"/>
        <v>-0.24362092477260266</v>
      </c>
      <c r="Y439" s="73">
        <f t="shared" si="312"/>
        <v>-0.13016713016713011</v>
      </c>
      <c r="Z439" s="73">
        <v>2.5225657001358481E-2</v>
      </c>
      <c r="AA439" s="24">
        <v>-0.10182240505367346</v>
      </c>
      <c r="AB439" s="73">
        <f t="shared" ref="AB439:AE439" si="313">AB437/W437-1</f>
        <v>-5.9065641991433937E-2</v>
      </c>
      <c r="AC439" s="73">
        <f t="shared" si="313"/>
        <v>0.19149845730642001</v>
      </c>
      <c r="AD439" s="73">
        <f t="shared" si="313"/>
        <v>2.4428855227216273E-2</v>
      </c>
      <c r="AE439" s="73">
        <f t="shared" si="313"/>
        <v>0.10124037772306593</v>
      </c>
      <c r="AF439" s="24">
        <v>5.8348439073514724E-2</v>
      </c>
      <c r="AG439" s="73">
        <v>0.12988878666085579</v>
      </c>
      <c r="AH439" s="73">
        <v>0.15435613446689023</v>
      </c>
      <c r="AI439" s="73">
        <v>0.13626033996909381</v>
      </c>
      <c r="AJ439" s="73">
        <v>0.10370590482659048</v>
      </c>
      <c r="AK439" s="24">
        <v>0.13041657944316509</v>
      </c>
      <c r="AL439" s="73">
        <v>8.5714285714285632E-2</v>
      </c>
      <c r="AM439" s="73">
        <v>8.1081081081081141E-2</v>
      </c>
      <c r="AN439" s="73">
        <v>4.0000000000000036E-2</v>
      </c>
      <c r="AO439" s="73">
        <v>0.12820512820512819</v>
      </c>
      <c r="AP439" s="24">
        <v>8.4175084175084125E-2</v>
      </c>
      <c r="AQ439" s="73">
        <v>0</v>
      </c>
      <c r="AR439" s="73">
        <v>-7.4999999999999956E-2</v>
      </c>
      <c r="AS439" s="73">
        <v>-3.8461538461538436E-2</v>
      </c>
      <c r="AT439" s="73">
        <v>-0.19318181818181823</v>
      </c>
      <c r="AU439" s="24">
        <v>-8.0745341614906874E-2</v>
      </c>
      <c r="AV439" s="73">
        <v>-7.8947368421052655E-2</v>
      </c>
      <c r="AW439" s="73">
        <v>-4.0540540540540571E-2</v>
      </c>
      <c r="AX439" s="73">
        <v>-4.0000000000000036E-2</v>
      </c>
      <c r="AY439" s="73">
        <v>1.4084507042253502E-2</v>
      </c>
      <c r="AZ439" s="24">
        <v>-3.7162162162162171E-2</v>
      </c>
      <c r="BA439" s="73">
        <v>0.12857142857142856</v>
      </c>
      <c r="BB439" s="73">
        <v>0.11267605633802824</v>
      </c>
      <c r="BC439" s="73">
        <v>0.125</v>
      </c>
      <c r="BD439" s="73">
        <v>0.16666666666666674</v>
      </c>
      <c r="BE439" s="24">
        <v>0.1333333333333333</v>
      </c>
    </row>
    <row r="440" spans="1:57">
      <c r="A440" s="69" t="s">
        <v>97</v>
      </c>
      <c r="B440" s="123" t="s">
        <v>44</v>
      </c>
      <c r="C440" s="80" t="s">
        <v>52</v>
      </c>
      <c r="D440" s="80" t="s">
        <v>52</v>
      </c>
      <c r="E440" s="80" t="s">
        <v>52</v>
      </c>
      <c r="F440" s="80" t="s">
        <v>52</v>
      </c>
      <c r="G440" s="123" t="s">
        <v>44</v>
      </c>
      <c r="H440" s="80" t="s">
        <v>52</v>
      </c>
      <c r="I440" s="80" t="s">
        <v>52</v>
      </c>
      <c r="J440" s="80" t="s">
        <v>52</v>
      </c>
      <c r="K440" s="80" t="s">
        <v>52</v>
      </c>
      <c r="L440" s="123" t="s">
        <v>44</v>
      </c>
      <c r="M440" s="80" t="s">
        <v>52</v>
      </c>
      <c r="N440" s="80" t="s">
        <v>52</v>
      </c>
      <c r="O440" s="80" t="s">
        <v>52</v>
      </c>
      <c r="P440" s="80" t="s">
        <v>52</v>
      </c>
      <c r="Q440" s="123" t="s">
        <v>44</v>
      </c>
      <c r="R440" s="80" t="s">
        <v>52</v>
      </c>
      <c r="S440" s="80" t="s">
        <v>52</v>
      </c>
      <c r="T440" s="80" t="s">
        <v>52</v>
      </c>
      <c r="U440" s="80" t="s">
        <v>52</v>
      </c>
      <c r="V440" s="123" t="s">
        <v>44</v>
      </c>
      <c r="W440" s="80" t="s">
        <v>52</v>
      </c>
      <c r="X440" s="80" t="s">
        <v>52</v>
      </c>
      <c r="Y440" s="80" t="s">
        <v>52</v>
      </c>
      <c r="Z440" s="80" t="s">
        <v>52</v>
      </c>
      <c r="AA440" s="123" t="s">
        <v>44</v>
      </c>
      <c r="AB440" s="80" t="s">
        <v>52</v>
      </c>
      <c r="AC440" s="80" t="s">
        <v>52</v>
      </c>
      <c r="AD440" s="80" t="s">
        <v>52</v>
      </c>
      <c r="AE440" s="80" t="s">
        <v>52</v>
      </c>
      <c r="AF440" s="123" t="s">
        <v>44</v>
      </c>
      <c r="AG440" s="70">
        <v>62</v>
      </c>
      <c r="AH440" s="70">
        <v>68</v>
      </c>
      <c r="AI440" s="70">
        <v>67</v>
      </c>
      <c r="AJ440" s="70">
        <v>70</v>
      </c>
      <c r="AK440" s="37">
        <v>267</v>
      </c>
      <c r="AL440" s="70">
        <v>69</v>
      </c>
      <c r="AM440" s="70">
        <v>62</v>
      </c>
      <c r="AN440" s="70">
        <v>69</v>
      </c>
      <c r="AO440" s="70">
        <v>70</v>
      </c>
      <c r="AP440" s="37">
        <v>270</v>
      </c>
      <c r="AQ440" s="70">
        <v>61</v>
      </c>
      <c r="AR440" s="70">
        <v>60</v>
      </c>
      <c r="AS440" s="70">
        <v>64</v>
      </c>
      <c r="AT440" s="70">
        <v>64</v>
      </c>
      <c r="AU440" s="37">
        <v>249</v>
      </c>
      <c r="AV440" s="70">
        <v>59</v>
      </c>
      <c r="AW440" s="70">
        <v>59</v>
      </c>
      <c r="AX440" s="70">
        <v>62</v>
      </c>
      <c r="AY440" s="70">
        <v>65</v>
      </c>
      <c r="AZ440" s="37">
        <v>245</v>
      </c>
      <c r="BA440" s="70">
        <v>57</v>
      </c>
      <c r="BB440" s="70">
        <v>61</v>
      </c>
      <c r="BC440" s="70">
        <v>56</v>
      </c>
      <c r="BD440" s="70">
        <v>59</v>
      </c>
      <c r="BE440" s="37">
        <v>233</v>
      </c>
    </row>
    <row r="441" spans="1:57">
      <c r="A441" s="71" t="s">
        <v>7</v>
      </c>
      <c r="B441" s="24"/>
      <c r="C441" s="73"/>
      <c r="D441" s="73"/>
      <c r="E441" s="73"/>
      <c r="F441" s="73"/>
      <c r="G441" s="24"/>
      <c r="H441" s="73"/>
      <c r="I441" s="73"/>
      <c r="J441" s="73"/>
      <c r="K441" s="73"/>
      <c r="L441" s="24"/>
      <c r="M441" s="73"/>
      <c r="N441" s="73"/>
      <c r="O441" s="73"/>
      <c r="P441" s="73"/>
      <c r="Q441" s="24"/>
      <c r="R441" s="73"/>
      <c r="S441" s="73"/>
      <c r="T441" s="73"/>
      <c r="U441" s="73"/>
      <c r="V441" s="24"/>
      <c r="W441" s="73"/>
      <c r="X441" s="73"/>
      <c r="Y441" s="73"/>
      <c r="Z441" s="73"/>
      <c r="AA441" s="24"/>
      <c r="AB441" s="72"/>
      <c r="AC441" s="72"/>
      <c r="AD441" s="72"/>
      <c r="AE441" s="72"/>
      <c r="AF441" s="24"/>
      <c r="AG441" s="72"/>
      <c r="AH441" s="72">
        <v>9.6774193548387011E-2</v>
      </c>
      <c r="AI441" s="72">
        <v>-1.4705882352941124E-2</v>
      </c>
      <c r="AJ441" s="72">
        <v>4.4776119402984982E-2</v>
      </c>
      <c r="AK441" s="24"/>
      <c r="AL441" s="72">
        <v>-1.4285714285714235E-2</v>
      </c>
      <c r="AM441" s="72">
        <v>-0.10144927536231885</v>
      </c>
      <c r="AN441" s="72">
        <v>0.11290322580645151</v>
      </c>
      <c r="AO441" s="72">
        <v>1.449275362318847E-2</v>
      </c>
      <c r="AP441" s="24"/>
      <c r="AQ441" s="72">
        <v>-0.12857142857142856</v>
      </c>
      <c r="AR441" s="72">
        <v>-1.6393442622950838E-2</v>
      </c>
      <c r="AS441" s="72">
        <v>6.6666666666666652E-2</v>
      </c>
      <c r="AT441" s="72">
        <v>0</v>
      </c>
      <c r="AU441" s="24"/>
      <c r="AV441" s="72">
        <v>-7.8125E-2</v>
      </c>
      <c r="AW441" s="72">
        <v>0</v>
      </c>
      <c r="AX441" s="72">
        <v>5.0847457627118731E-2</v>
      </c>
      <c r="AY441" s="72">
        <v>4.8387096774193505E-2</v>
      </c>
      <c r="AZ441" s="24"/>
      <c r="BA441" s="72">
        <v>-0.12307692307692308</v>
      </c>
      <c r="BB441" s="72">
        <v>7.0175438596491224E-2</v>
      </c>
      <c r="BC441" s="72">
        <v>-8.1967213114754078E-2</v>
      </c>
      <c r="BD441" s="72">
        <v>5.3571428571428603E-2</v>
      </c>
      <c r="BE441" s="24"/>
    </row>
    <row r="442" spans="1:57">
      <c r="A442" s="71" t="s">
        <v>8</v>
      </c>
      <c r="B442" s="24"/>
      <c r="C442" s="73"/>
      <c r="D442" s="73"/>
      <c r="E442" s="73"/>
      <c r="F442" s="73"/>
      <c r="G442" s="24"/>
      <c r="H442" s="73"/>
      <c r="I442" s="73"/>
      <c r="J442" s="73"/>
      <c r="K442" s="73"/>
      <c r="L442" s="24"/>
      <c r="M442" s="73"/>
      <c r="N442" s="73"/>
      <c r="O442" s="73"/>
      <c r="P442" s="73"/>
      <c r="Q442" s="24"/>
      <c r="R442" s="73"/>
      <c r="S442" s="73"/>
      <c r="T442" s="73"/>
      <c r="U442" s="73"/>
      <c r="V442" s="24"/>
      <c r="W442" s="73"/>
      <c r="X442" s="73"/>
      <c r="Y442" s="73"/>
      <c r="Z442" s="73"/>
      <c r="AA442" s="24"/>
      <c r="AB442" s="73"/>
      <c r="AC442" s="73"/>
      <c r="AD442" s="73"/>
      <c r="AE442" s="73"/>
      <c r="AF442" s="24"/>
      <c r="AG442" s="73"/>
      <c r="AH442" s="73"/>
      <c r="AI442" s="73"/>
      <c r="AJ442" s="73"/>
      <c r="AK442" s="24"/>
      <c r="AL442" s="73">
        <v>0.11290322580645151</v>
      </c>
      <c r="AM442" s="73">
        <v>-8.8235294117647078E-2</v>
      </c>
      <c r="AN442" s="73">
        <v>2.9850746268656803E-2</v>
      </c>
      <c r="AO442" s="73">
        <v>0</v>
      </c>
      <c r="AP442" s="24">
        <v>1.1235955056179803E-2</v>
      </c>
      <c r="AQ442" s="73">
        <v>-0.11594202898550721</v>
      </c>
      <c r="AR442" s="73">
        <v>-3.2258064516129004E-2</v>
      </c>
      <c r="AS442" s="73">
        <v>-7.2463768115942018E-2</v>
      </c>
      <c r="AT442" s="73">
        <v>-8.5714285714285743E-2</v>
      </c>
      <c r="AU442" s="24">
        <v>-7.7777777777777724E-2</v>
      </c>
      <c r="AV442" s="73">
        <v>-3.2786885245901676E-2</v>
      </c>
      <c r="AW442" s="73">
        <v>-1.6666666666666718E-2</v>
      </c>
      <c r="AX442" s="73">
        <v>-3.125E-2</v>
      </c>
      <c r="AY442" s="73">
        <v>1.5625E-2</v>
      </c>
      <c r="AZ442" s="24">
        <v>-1.6064257028112428E-2</v>
      </c>
      <c r="BA442" s="73">
        <v>-3.3898305084745783E-2</v>
      </c>
      <c r="BB442" s="73">
        <v>3.3898305084745672E-2</v>
      </c>
      <c r="BC442" s="73">
        <v>-9.6774193548387122E-2</v>
      </c>
      <c r="BD442" s="73">
        <v>-9.2307692307692313E-2</v>
      </c>
      <c r="BE442" s="24">
        <v>-4.8979591836734726E-2</v>
      </c>
    </row>
    <row r="443" spans="1:57">
      <c r="A443" s="69" t="s">
        <v>86</v>
      </c>
      <c r="B443" s="123" t="s">
        <v>44</v>
      </c>
      <c r="C443" s="80" t="s">
        <v>52</v>
      </c>
      <c r="D443" s="80" t="s">
        <v>52</v>
      </c>
      <c r="E443" s="80" t="s">
        <v>52</v>
      </c>
      <c r="F443" s="80" t="s">
        <v>52</v>
      </c>
      <c r="G443" s="123" t="s">
        <v>44</v>
      </c>
      <c r="H443" s="80" t="s">
        <v>52</v>
      </c>
      <c r="I443" s="80" t="s">
        <v>52</v>
      </c>
      <c r="J443" s="80" t="s">
        <v>52</v>
      </c>
      <c r="K443" s="80" t="s">
        <v>52</v>
      </c>
      <c r="L443" s="123" t="s">
        <v>44</v>
      </c>
      <c r="M443" s="80" t="s">
        <v>52</v>
      </c>
      <c r="N443" s="80" t="s">
        <v>52</v>
      </c>
      <c r="O443" s="80" t="s">
        <v>52</v>
      </c>
      <c r="P443" s="80" t="s">
        <v>52</v>
      </c>
      <c r="Q443" s="123" t="s">
        <v>44</v>
      </c>
      <c r="R443" s="80" t="s">
        <v>52</v>
      </c>
      <c r="S443" s="80" t="s">
        <v>52</v>
      </c>
      <c r="T443" s="80" t="s">
        <v>52</v>
      </c>
      <c r="U443" s="80" t="s">
        <v>52</v>
      </c>
      <c r="V443" s="123" t="s">
        <v>44</v>
      </c>
      <c r="W443" s="80" t="s">
        <v>52</v>
      </c>
      <c r="X443" s="80" t="s">
        <v>52</v>
      </c>
      <c r="Y443" s="80" t="s">
        <v>52</v>
      </c>
      <c r="Z443" s="80" t="s">
        <v>52</v>
      </c>
      <c r="AA443" s="123" t="s">
        <v>44</v>
      </c>
      <c r="AB443" s="80" t="s">
        <v>52</v>
      </c>
      <c r="AC443" s="80" t="s">
        <v>52</v>
      </c>
      <c r="AD443" s="80" t="s">
        <v>52</v>
      </c>
      <c r="AE443" s="80" t="s">
        <v>52</v>
      </c>
      <c r="AF443" s="123" t="s">
        <v>44</v>
      </c>
      <c r="AG443" s="70">
        <v>219</v>
      </c>
      <c r="AH443" s="70">
        <v>218</v>
      </c>
      <c r="AI443" s="70">
        <v>214</v>
      </c>
      <c r="AJ443" s="70">
        <v>236</v>
      </c>
      <c r="AK443" s="37">
        <v>887</v>
      </c>
      <c r="AL443" s="70">
        <v>236</v>
      </c>
      <c r="AM443" s="70">
        <v>227</v>
      </c>
      <c r="AN443" s="70">
        <v>225</v>
      </c>
      <c r="AO443" s="70">
        <v>244</v>
      </c>
      <c r="AP443" s="37">
        <v>932</v>
      </c>
      <c r="AQ443" s="70">
        <v>245</v>
      </c>
      <c r="AR443" s="70">
        <v>223</v>
      </c>
      <c r="AS443" s="70">
        <v>233</v>
      </c>
      <c r="AT443" s="70">
        <v>246</v>
      </c>
      <c r="AU443" s="37">
        <v>947</v>
      </c>
      <c r="AV443" s="70">
        <v>243</v>
      </c>
      <c r="AW443" s="70">
        <v>237</v>
      </c>
      <c r="AX443" s="70">
        <v>237</v>
      </c>
      <c r="AY443" s="70">
        <v>240</v>
      </c>
      <c r="AZ443" s="37">
        <v>957</v>
      </c>
      <c r="BA443" s="70">
        <v>240</v>
      </c>
      <c r="BB443" s="70">
        <v>252</v>
      </c>
      <c r="BC443" s="70">
        <v>229</v>
      </c>
      <c r="BD443" s="70">
        <v>235</v>
      </c>
      <c r="BE443" s="37">
        <v>956</v>
      </c>
    </row>
    <row r="444" spans="1:57">
      <c r="A444" s="71" t="s">
        <v>7</v>
      </c>
      <c r="B444" s="24"/>
      <c r="C444" s="73"/>
      <c r="D444" s="73"/>
      <c r="E444" s="73"/>
      <c r="F444" s="73"/>
      <c r="G444" s="24"/>
      <c r="H444" s="73"/>
      <c r="I444" s="73"/>
      <c r="J444" s="73"/>
      <c r="K444" s="73"/>
      <c r="L444" s="24"/>
      <c r="M444" s="73"/>
      <c r="N444" s="73"/>
      <c r="O444" s="73"/>
      <c r="P444" s="73"/>
      <c r="Q444" s="24"/>
      <c r="R444" s="73"/>
      <c r="S444" s="73"/>
      <c r="T444" s="73"/>
      <c r="U444" s="73"/>
      <c r="V444" s="24"/>
      <c r="W444" s="73"/>
      <c r="X444" s="73"/>
      <c r="Y444" s="73"/>
      <c r="Z444" s="73"/>
      <c r="AA444" s="24"/>
      <c r="AB444" s="73"/>
      <c r="AC444" s="73"/>
      <c r="AD444" s="73"/>
      <c r="AE444" s="73"/>
      <c r="AF444" s="24"/>
      <c r="AG444" s="72"/>
      <c r="AH444" s="72">
        <v>-4.5662100456621557E-3</v>
      </c>
      <c r="AI444" s="72">
        <v>-1.834862385321101E-2</v>
      </c>
      <c r="AJ444" s="72">
        <v>0.10280373831775691</v>
      </c>
      <c r="AK444" s="24"/>
      <c r="AL444" s="72">
        <v>0</v>
      </c>
      <c r="AM444" s="72">
        <v>-3.8135593220338992E-2</v>
      </c>
      <c r="AN444" s="72">
        <v>-8.8105726872246271E-3</v>
      </c>
      <c r="AO444" s="72">
        <v>8.4444444444444544E-2</v>
      </c>
      <c r="AP444" s="24"/>
      <c r="AQ444" s="72">
        <v>4.098360655737654E-3</v>
      </c>
      <c r="AR444" s="72">
        <v>-8.9795918367346905E-2</v>
      </c>
      <c r="AS444" s="72">
        <v>4.4843049327354167E-2</v>
      </c>
      <c r="AT444" s="72">
        <v>5.579399141630903E-2</v>
      </c>
      <c r="AU444" s="24"/>
      <c r="AV444" s="72">
        <v>-1.2195121951219523E-2</v>
      </c>
      <c r="AW444" s="72">
        <v>-2.4691358024691357E-2</v>
      </c>
      <c r="AX444" s="72">
        <v>0</v>
      </c>
      <c r="AY444" s="72">
        <v>1.2658227848101333E-2</v>
      </c>
      <c r="AZ444" s="24"/>
      <c r="BA444" s="72">
        <v>0</v>
      </c>
      <c r="BB444" s="72">
        <v>5.0000000000000044E-2</v>
      </c>
      <c r="BC444" s="72">
        <v>-9.1269841269841279E-2</v>
      </c>
      <c r="BD444" s="72">
        <v>2.6200873362445476E-2</v>
      </c>
      <c r="BE444" s="24"/>
    </row>
    <row r="445" spans="1:57">
      <c r="A445" s="71" t="s">
        <v>8</v>
      </c>
      <c r="B445" s="24"/>
      <c r="C445" s="73"/>
      <c r="D445" s="73"/>
      <c r="E445" s="73"/>
      <c r="F445" s="73"/>
      <c r="G445" s="24"/>
      <c r="H445" s="73"/>
      <c r="I445" s="73"/>
      <c r="J445" s="73"/>
      <c r="K445" s="73"/>
      <c r="L445" s="24"/>
      <c r="M445" s="73"/>
      <c r="N445" s="73"/>
      <c r="O445" s="73"/>
      <c r="P445" s="73"/>
      <c r="Q445" s="24"/>
      <c r="R445" s="73"/>
      <c r="S445" s="73"/>
      <c r="T445" s="73"/>
      <c r="U445" s="73"/>
      <c r="V445" s="24"/>
      <c r="W445" s="73"/>
      <c r="X445" s="73"/>
      <c r="Y445" s="73"/>
      <c r="Z445" s="73"/>
      <c r="AA445" s="24"/>
      <c r="AB445" s="73"/>
      <c r="AC445" s="73"/>
      <c r="AD445" s="73"/>
      <c r="AE445" s="73"/>
      <c r="AF445" s="24"/>
      <c r="AG445" s="73"/>
      <c r="AH445" s="73"/>
      <c r="AI445" s="73"/>
      <c r="AJ445" s="73"/>
      <c r="AK445" s="24"/>
      <c r="AL445" s="73">
        <v>7.7625570776255648E-2</v>
      </c>
      <c r="AM445" s="73">
        <v>4.1284403669724856E-2</v>
      </c>
      <c r="AN445" s="73">
        <v>5.1401869158878455E-2</v>
      </c>
      <c r="AO445" s="73">
        <v>3.3898305084745672E-2</v>
      </c>
      <c r="AP445" s="24">
        <v>5.0732807215332576E-2</v>
      </c>
      <c r="AQ445" s="73">
        <v>3.8135593220338881E-2</v>
      </c>
      <c r="AR445" s="73">
        <v>-1.7621145374449365E-2</v>
      </c>
      <c r="AS445" s="73">
        <v>3.5555555555555562E-2</v>
      </c>
      <c r="AT445" s="73">
        <v>8.1967213114753079E-3</v>
      </c>
      <c r="AU445" s="24">
        <v>1.6094420600858417E-2</v>
      </c>
      <c r="AV445" s="73">
        <v>-8.1632653061224358E-3</v>
      </c>
      <c r="AW445" s="73">
        <v>6.2780269058295923E-2</v>
      </c>
      <c r="AX445" s="73">
        <v>1.716738197424883E-2</v>
      </c>
      <c r="AY445" s="73">
        <v>-2.4390243902439046E-2</v>
      </c>
      <c r="AZ445" s="24">
        <v>1.0559662090813049E-2</v>
      </c>
      <c r="BA445" s="73">
        <v>-1.2345679012345734E-2</v>
      </c>
      <c r="BB445" s="73">
        <v>6.3291139240506222E-2</v>
      </c>
      <c r="BC445" s="73">
        <v>-3.3755274261603407E-2</v>
      </c>
      <c r="BD445" s="73">
        <v>-2.083333333333337E-2</v>
      </c>
      <c r="BE445" s="24">
        <v>-1.0449320794148065E-3</v>
      </c>
    </row>
    <row r="446" spans="1:57" hidden="1">
      <c r="A446" s="69" t="s">
        <v>83</v>
      </c>
      <c r="B446" s="37">
        <v>1117.098</v>
      </c>
      <c r="C446" s="80" t="s">
        <v>52</v>
      </c>
      <c r="D446" s="80" t="s">
        <v>52</v>
      </c>
      <c r="E446" s="80" t="s">
        <v>52</v>
      </c>
      <c r="F446" s="80" t="s">
        <v>52</v>
      </c>
      <c r="G446" s="37">
        <v>1091.171</v>
      </c>
      <c r="H446" s="70">
        <v>258.45400000000001</v>
      </c>
      <c r="I446" s="70">
        <v>255.61500000000001</v>
      </c>
      <c r="J446" s="70">
        <v>261.83600000000001</v>
      </c>
      <c r="K446" s="70">
        <f>L446-J446-I446-H446</f>
        <v>266.19600000000008</v>
      </c>
      <c r="L446" s="37">
        <v>1042.1010000000001</v>
      </c>
      <c r="M446" s="70">
        <v>261.553</v>
      </c>
      <c r="N446" s="70">
        <v>322.11099999999999</v>
      </c>
      <c r="O446" s="70">
        <v>258.524</v>
      </c>
      <c r="P446" s="70">
        <f>Q446-O446-N446-M446</f>
        <v>286.65999999999997</v>
      </c>
      <c r="Q446" s="37">
        <v>1128.848</v>
      </c>
      <c r="R446" s="70">
        <v>271.899</v>
      </c>
      <c r="S446" s="70">
        <v>268.99700000000001</v>
      </c>
      <c r="T446" s="70">
        <v>267.77999999999997</v>
      </c>
      <c r="U446" s="70">
        <f>V446-T446-S446-R446</f>
        <v>219.4919999999999</v>
      </c>
      <c r="V446" s="37">
        <v>1028.1679999999999</v>
      </c>
      <c r="W446" s="70">
        <v>272.23700000000002</v>
      </c>
      <c r="X446" s="70">
        <v>255.75399999999999</v>
      </c>
      <c r="Y446" s="70">
        <v>272.64100000000002</v>
      </c>
      <c r="Z446" s="70">
        <f>AA446-Y446-X446-W446</f>
        <v>266.45499999999987</v>
      </c>
      <c r="AA446" s="37">
        <v>1067.087</v>
      </c>
      <c r="AB446" s="70">
        <f>258.114+18.5</f>
        <v>276.61399999999998</v>
      </c>
      <c r="AC446" s="70">
        <f>260.881+19</f>
        <v>279.88099999999997</v>
      </c>
      <c r="AD446" s="70">
        <f>257.775+19.7</f>
        <v>277.47499999999997</v>
      </c>
      <c r="AE446" s="70">
        <f>AF446-AD446-AC446-AB446</f>
        <v>296.03000000000014</v>
      </c>
      <c r="AF446" s="37">
        <v>1130</v>
      </c>
      <c r="AG446" s="70">
        <v>292</v>
      </c>
      <c r="AH446" s="147">
        <v>297</v>
      </c>
      <c r="AI446" s="70">
        <v>300</v>
      </c>
      <c r="AJ446" s="70">
        <v>314</v>
      </c>
      <c r="AK446" s="37">
        <v>1203</v>
      </c>
      <c r="AL446" s="70">
        <v>320</v>
      </c>
      <c r="AM446" s="70">
        <v>313</v>
      </c>
      <c r="AN446" s="70">
        <v>314</v>
      </c>
      <c r="AO446" s="70">
        <v>342</v>
      </c>
      <c r="AP446" s="37">
        <v>1289</v>
      </c>
      <c r="AQ446" s="70">
        <v>321</v>
      </c>
      <c r="AR446" s="70">
        <v>312</v>
      </c>
      <c r="AS446" s="70">
        <v>314</v>
      </c>
      <c r="AT446" s="70">
        <v>314</v>
      </c>
      <c r="AU446" s="37">
        <v>1261</v>
      </c>
      <c r="AV446" s="70">
        <v>315</v>
      </c>
      <c r="AW446" s="70">
        <v>313</v>
      </c>
      <c r="AX446" s="70">
        <v>312</v>
      </c>
      <c r="AY446" s="70">
        <v>320</v>
      </c>
      <c r="AZ446" s="37">
        <v>1260</v>
      </c>
      <c r="BA446" s="70">
        <v>318</v>
      </c>
      <c r="BB446" s="70">
        <v>331</v>
      </c>
      <c r="BC446" s="70">
        <v>310</v>
      </c>
      <c r="BD446" s="70"/>
      <c r="BE446" s="37"/>
    </row>
    <row r="447" spans="1:57" hidden="1">
      <c r="A447" s="71" t="s">
        <v>7</v>
      </c>
      <c r="B447" s="24"/>
      <c r="C447" s="72"/>
      <c r="D447" s="72"/>
      <c r="E447" s="72"/>
      <c r="F447" s="72"/>
      <c r="G447" s="24"/>
      <c r="H447" s="72"/>
      <c r="I447" s="72">
        <f>I446/H446-1</f>
        <v>-1.0984546573084564E-2</v>
      </c>
      <c r="J447" s="72">
        <f>J446/I446-1</f>
        <v>2.4337382391487195E-2</v>
      </c>
      <c r="K447" s="72">
        <f>K446/J446-1</f>
        <v>1.6651644540857991E-2</v>
      </c>
      <c r="L447" s="24"/>
      <c r="M447" s="72">
        <f>M446/K446-1</f>
        <v>-1.7442035192114402E-2</v>
      </c>
      <c r="N447" s="72">
        <f>N446/M446-1</f>
        <v>0.23153242363880366</v>
      </c>
      <c r="O447" s="72">
        <f>O446/N446-1</f>
        <v>-0.19740710500417558</v>
      </c>
      <c r="P447" s="72">
        <f>P446/O446-1</f>
        <v>0.10883322244743221</v>
      </c>
      <c r="Q447" s="24"/>
      <c r="R447" s="72">
        <f>R446/P446-1</f>
        <v>-5.1493057978092449E-2</v>
      </c>
      <c r="S447" s="72">
        <f>S446/R446-1</f>
        <v>-1.0673080813096036E-2</v>
      </c>
      <c r="T447" s="72">
        <f>T446/S446-1</f>
        <v>-4.5242140246918305E-3</v>
      </c>
      <c r="U447" s="72">
        <f>U446/T446-1</f>
        <v>-0.18032713421465407</v>
      </c>
      <c r="V447" s="24"/>
      <c r="W447" s="72">
        <f>W446/U446-1</f>
        <v>0.24030488582727449</v>
      </c>
      <c r="X447" s="72">
        <f>X446/W446-1</f>
        <v>-6.054650910787307E-2</v>
      </c>
      <c r="Y447" s="72">
        <f>Y446/X446-1</f>
        <v>6.6028292812624789E-2</v>
      </c>
      <c r="Z447" s="72">
        <f>Z446/Y446-1</f>
        <v>-2.2689177343100053E-2</v>
      </c>
      <c r="AA447" s="24"/>
      <c r="AB447" s="72">
        <f>AB446/Z446-1</f>
        <v>3.8126512919630429E-2</v>
      </c>
      <c r="AC447" s="72">
        <f>AC446/AB446-1</f>
        <v>1.1810682033447373E-2</v>
      </c>
      <c r="AD447" s="72">
        <f>AD446/AC446-1</f>
        <v>-8.5965106598876462E-3</v>
      </c>
      <c r="AE447" s="72">
        <f>AE446/AD446-1</f>
        <v>6.6870889269304179E-2</v>
      </c>
      <c r="AF447" s="24"/>
      <c r="AG447" s="72">
        <v>-1.36134851197518E-2</v>
      </c>
      <c r="AH447" s="165">
        <v>1.7123287671232834E-2</v>
      </c>
      <c r="AI447" s="72">
        <v>1.0101010101010166E-2</v>
      </c>
      <c r="AJ447" s="72">
        <v>4.6666666666666634E-2</v>
      </c>
      <c r="AK447" s="24"/>
      <c r="AL447" s="72">
        <v>1.9108280254777066E-2</v>
      </c>
      <c r="AM447" s="72">
        <v>-2.1874999999999978E-2</v>
      </c>
      <c r="AN447" s="72">
        <v>3.1948881789136685E-3</v>
      </c>
      <c r="AO447" s="72">
        <v>8.9171974522292974E-2</v>
      </c>
      <c r="AP447" s="24"/>
      <c r="AQ447" s="72">
        <v>-6.1403508771929793E-2</v>
      </c>
      <c r="AR447" s="72">
        <v>-2.8037383177570097E-2</v>
      </c>
      <c r="AS447" s="72">
        <v>6.4102564102563875E-3</v>
      </c>
      <c r="AT447" s="72">
        <v>0</v>
      </c>
      <c r="AU447" s="24"/>
      <c r="AV447" s="72">
        <v>3.1847133757962887E-3</v>
      </c>
      <c r="AW447" s="72">
        <v>-6.3492063492063266E-3</v>
      </c>
      <c r="AX447" s="72">
        <v>-3.1948881789137795E-3</v>
      </c>
      <c r="AY447" s="72">
        <v>2.564102564102555E-2</v>
      </c>
      <c r="AZ447" s="24"/>
      <c r="BA447" s="72">
        <v>-6.2499999999999778E-3</v>
      </c>
      <c r="BB447" s="72">
        <v>4.088050314465419E-2</v>
      </c>
      <c r="BC447" s="72">
        <v>-6.3444108761329332E-2</v>
      </c>
      <c r="BD447" s="72"/>
      <c r="BE447" s="24"/>
    </row>
    <row r="448" spans="1:57" hidden="1">
      <c r="A448" s="71" t="s">
        <v>8</v>
      </c>
      <c r="B448" s="24"/>
      <c r="C448" s="73"/>
      <c r="D448" s="73"/>
      <c r="E448" s="73"/>
      <c r="F448" s="73"/>
      <c r="G448" s="24">
        <f>G446/B446-1</f>
        <v>-2.3209243951739178E-2</v>
      </c>
      <c r="H448" s="73"/>
      <c r="I448" s="73"/>
      <c r="J448" s="73"/>
      <c r="K448" s="73"/>
      <c r="L448" s="24">
        <f t="shared" ref="L448:AD448" si="314">L446/G446-1</f>
        <v>-4.497003677700373E-2</v>
      </c>
      <c r="M448" s="73">
        <f t="shared" si="314"/>
        <v>1.1990528295170444E-2</v>
      </c>
      <c r="N448" s="73">
        <f t="shared" si="314"/>
        <v>0.26014122801869988</v>
      </c>
      <c r="O448" s="73">
        <f t="shared" si="314"/>
        <v>-1.2649139155807454E-2</v>
      </c>
      <c r="P448" s="73">
        <f t="shared" si="314"/>
        <v>7.6875685585057196E-2</v>
      </c>
      <c r="Q448" s="24">
        <f t="shared" si="314"/>
        <v>8.3242411244207393E-2</v>
      </c>
      <c r="R448" s="73">
        <f t="shared" si="314"/>
        <v>3.9556036443856524E-2</v>
      </c>
      <c r="S448" s="73">
        <f t="shared" si="314"/>
        <v>-0.16489346840064445</v>
      </c>
      <c r="T448" s="73">
        <f t="shared" si="314"/>
        <v>3.5803252309263289E-2</v>
      </c>
      <c r="U448" s="73">
        <f t="shared" si="314"/>
        <v>-0.23431242587036938</v>
      </c>
      <c r="V448" s="24">
        <f t="shared" si="314"/>
        <v>-8.9188269811347531E-2</v>
      </c>
      <c r="W448" s="73">
        <f t="shared" si="314"/>
        <v>1.2431086543165382E-3</v>
      </c>
      <c r="X448" s="73">
        <f t="shared" si="314"/>
        <v>-4.9231032316345624E-2</v>
      </c>
      <c r="Y448" s="73">
        <f t="shared" si="314"/>
        <v>1.8152961386212807E-2</v>
      </c>
      <c r="Z448" s="73">
        <f t="shared" si="314"/>
        <v>0.213962240081643</v>
      </c>
      <c r="AA448" s="24">
        <f t="shared" si="314"/>
        <v>3.7852763361629682E-2</v>
      </c>
      <c r="AB448" s="73">
        <f t="shared" si="314"/>
        <v>1.6077902709771053E-2</v>
      </c>
      <c r="AC448" s="73">
        <f t="shared" si="314"/>
        <v>9.4336745466346406E-2</v>
      </c>
      <c r="AD448" s="73">
        <f t="shared" si="314"/>
        <v>1.7730275343766921E-2</v>
      </c>
      <c r="AE448" s="73">
        <f t="shared" ref="AE448" si="315">AE446/Z446-1</f>
        <v>0.11099435176671602</v>
      </c>
      <c r="AF448" s="24">
        <v>5.8957704479578599E-2</v>
      </c>
      <c r="AG448" s="73">
        <v>5.5622636598292363E-2</v>
      </c>
      <c r="AH448" s="164">
        <v>6.1165280958693335E-2</v>
      </c>
      <c r="AI448" s="73">
        <v>8.117848454815757E-2</v>
      </c>
      <c r="AJ448" s="73">
        <v>6.0703307097253134E-2</v>
      </c>
      <c r="AK448" s="24">
        <v>6.4601769911504459E-2</v>
      </c>
      <c r="AL448" s="73">
        <v>9.5890410958904049E-2</v>
      </c>
      <c r="AM448" s="73">
        <v>5.3872053872053849E-2</v>
      </c>
      <c r="AN448" s="73">
        <v>4.6666666666666634E-2</v>
      </c>
      <c r="AO448" s="73">
        <v>8.9171974522292974E-2</v>
      </c>
      <c r="AP448" s="24">
        <v>7.1487946799667412E-2</v>
      </c>
      <c r="AQ448" s="73">
        <v>3.1250000000000444E-3</v>
      </c>
      <c r="AR448" s="73">
        <v>-3.1948881789137795E-3</v>
      </c>
      <c r="AS448" s="73">
        <v>0</v>
      </c>
      <c r="AT448" s="73">
        <v>-8.1871345029239762E-2</v>
      </c>
      <c r="AU448" s="24">
        <v>-2.1722265321954981E-2</v>
      </c>
      <c r="AV448" s="73">
        <v>-1.8691588785046731E-2</v>
      </c>
      <c r="AW448" s="73">
        <v>3.2051282051281937E-3</v>
      </c>
      <c r="AX448" s="73">
        <v>-6.3694267515923553E-3</v>
      </c>
      <c r="AY448" s="73">
        <v>1.9108280254777066E-2</v>
      </c>
      <c r="AZ448" s="24">
        <v>-7.9302141157810979E-4</v>
      </c>
      <c r="BA448" s="73">
        <v>9.52380952380949E-3</v>
      </c>
      <c r="BB448" s="73">
        <v>5.7507987220447365E-2</v>
      </c>
      <c r="BC448" s="73">
        <v>-6.4102564102563875E-3</v>
      </c>
      <c r="BD448" s="73"/>
      <c r="BE448" s="24"/>
    </row>
    <row r="449" spans="1:57" hidden="1">
      <c r="A449" s="69" t="s">
        <v>104</v>
      </c>
      <c r="B449" s="37">
        <v>297.72500000000002</v>
      </c>
      <c r="C449" s="80" t="s">
        <v>52</v>
      </c>
      <c r="D449" s="80" t="s">
        <v>52</v>
      </c>
      <c r="E449" s="80" t="s">
        <v>52</v>
      </c>
      <c r="F449" s="80" t="s">
        <v>52</v>
      </c>
      <c r="G449" s="37">
        <v>421.46100000000001</v>
      </c>
      <c r="H449" s="70">
        <v>125.328</v>
      </c>
      <c r="I449" s="70">
        <v>120.483</v>
      </c>
      <c r="J449" s="70">
        <v>118.61499999999999</v>
      </c>
      <c r="K449" s="70">
        <f>L449-J449-I449-H449</f>
        <v>123.90799999999999</v>
      </c>
      <c r="L449" s="37">
        <v>488.334</v>
      </c>
      <c r="M449" s="70">
        <v>129.863</v>
      </c>
      <c r="N449" s="70">
        <v>73.835999999999999</v>
      </c>
      <c r="O449" s="70">
        <v>136.82300000000001</v>
      </c>
      <c r="P449" s="70">
        <f>Q449-O449-N449-M449</f>
        <v>113.56</v>
      </c>
      <c r="Q449" s="37">
        <v>454.08199999999999</v>
      </c>
      <c r="R449" s="70">
        <v>133.65100000000001</v>
      </c>
      <c r="S449" s="70">
        <v>134.96299999999999</v>
      </c>
      <c r="T449" s="70">
        <v>137.68799999999999</v>
      </c>
      <c r="U449" s="70">
        <f>V449-T449-S449-R449</f>
        <v>184.339</v>
      </c>
      <c r="V449" s="37">
        <v>590.64099999999996</v>
      </c>
      <c r="W449" s="70">
        <v>144.46700000000001</v>
      </c>
      <c r="X449" s="70">
        <v>152.97800000000001</v>
      </c>
      <c r="Y449" s="70">
        <v>130.07900000000001</v>
      </c>
      <c r="Z449" s="70">
        <f>AA449-Y449-X449-W449</f>
        <v>141.38300000000001</v>
      </c>
      <c r="AA449" s="37">
        <v>568.90700000000004</v>
      </c>
      <c r="AB449" s="70">
        <f>145.427-18.5</f>
        <v>126.92699999999999</v>
      </c>
      <c r="AC449" s="70">
        <f>142.959-19</f>
        <v>123.959</v>
      </c>
      <c r="AD449" s="70">
        <f>152.489-19.7</f>
        <v>132.78900000000002</v>
      </c>
      <c r="AE449" s="70">
        <f>AF449-AD449-AC449-AB449</f>
        <v>121.32500000000002</v>
      </c>
      <c r="AF449" s="37">
        <v>505</v>
      </c>
      <c r="AG449" s="70">
        <v>132</v>
      </c>
      <c r="AH449" s="147">
        <v>130</v>
      </c>
      <c r="AI449" s="70">
        <v>133</v>
      </c>
      <c r="AJ449" s="70">
        <v>126</v>
      </c>
      <c r="AK449" s="37">
        <v>521</v>
      </c>
      <c r="AL449" s="70">
        <v>120</v>
      </c>
      <c r="AM449" s="70">
        <v>126</v>
      </c>
      <c r="AN449" s="70">
        <v>132</v>
      </c>
      <c r="AO449" s="70">
        <v>107</v>
      </c>
      <c r="AP449" s="37">
        <v>485</v>
      </c>
      <c r="AQ449" s="70">
        <v>118</v>
      </c>
      <c r="AR449" s="70">
        <v>122</v>
      </c>
      <c r="AS449" s="70">
        <v>120</v>
      </c>
      <c r="AT449" s="70">
        <v>124</v>
      </c>
      <c r="AU449" s="37">
        <v>484</v>
      </c>
      <c r="AV449" s="70">
        <v>109</v>
      </c>
      <c r="AW449" s="70">
        <v>103</v>
      </c>
      <c r="AX449" s="70">
        <v>94</v>
      </c>
      <c r="AY449" s="70">
        <v>84</v>
      </c>
      <c r="AZ449" s="37">
        <v>390</v>
      </c>
      <c r="BA449" s="70">
        <v>57</v>
      </c>
      <c r="BB449" s="70">
        <v>44</v>
      </c>
      <c r="BC449" s="70">
        <v>57</v>
      </c>
      <c r="BD449" s="70"/>
      <c r="BE449" s="37"/>
    </row>
    <row r="450" spans="1:57" hidden="1">
      <c r="A450" s="71" t="s">
        <v>7</v>
      </c>
      <c r="B450" s="24"/>
      <c r="C450" s="72"/>
      <c r="D450" s="72"/>
      <c r="E450" s="72"/>
      <c r="F450" s="72"/>
      <c r="G450" s="24"/>
      <c r="H450" s="72"/>
      <c r="I450" s="72">
        <f>I449/H449-1</f>
        <v>-3.8658559938720805E-2</v>
      </c>
      <c r="J450" s="72">
        <f>J449/I449-1</f>
        <v>-1.5504262012068115E-2</v>
      </c>
      <c r="K450" s="72">
        <f>K449/J449-1</f>
        <v>4.4623361294945818E-2</v>
      </c>
      <c r="L450" s="24"/>
      <c r="M450" s="72">
        <f>M449/K449-1</f>
        <v>4.8059850857087527E-2</v>
      </c>
      <c r="N450" s="72">
        <f>N449/M449-1</f>
        <v>-0.43143158559404915</v>
      </c>
      <c r="O450" s="72">
        <f>O449/N449-1</f>
        <v>0.85306625494338828</v>
      </c>
      <c r="P450" s="72">
        <f>P449/O449-1</f>
        <v>-0.17002258392229375</v>
      </c>
      <c r="Q450" s="24"/>
      <c r="R450" s="72">
        <f>R449/P449-1</f>
        <v>0.17691969003170138</v>
      </c>
      <c r="S450" s="72">
        <f>S449/R449-1</f>
        <v>9.8166119220954862E-3</v>
      </c>
      <c r="T450" s="72">
        <f>T449/S449-1</f>
        <v>2.0190718937783014E-2</v>
      </c>
      <c r="U450" s="72">
        <f>U449/T449-1</f>
        <v>0.33881674510487492</v>
      </c>
      <c r="V450" s="24"/>
      <c r="W450" s="72">
        <f>W449/U449-1</f>
        <v>-0.21629714818893442</v>
      </c>
      <c r="X450" s="72">
        <f>X449/W449-1</f>
        <v>5.8913108183875851E-2</v>
      </c>
      <c r="Y450" s="72">
        <f>Y449/X449-1</f>
        <v>-0.14968819045875881</v>
      </c>
      <c r="Z450" s="72">
        <f>Z449/Y449-1</f>
        <v>8.6901037062093067E-2</v>
      </c>
      <c r="AA450" s="24"/>
      <c r="AB450" s="72">
        <f>AB449/Z449-1</f>
        <v>-0.10224708769795532</v>
      </c>
      <c r="AC450" s="72">
        <f>AC449/AB449-1</f>
        <v>-2.3383519660907348E-2</v>
      </c>
      <c r="AD450" s="72">
        <f>AD449/AC449-1</f>
        <v>7.1233230342290677E-2</v>
      </c>
      <c r="AE450" s="72">
        <f>AE449/AD449-1</f>
        <v>-8.633245223625452E-2</v>
      </c>
      <c r="AF450" s="24"/>
      <c r="AG450" s="72">
        <v>8.7986812281063198E-2</v>
      </c>
      <c r="AH450" s="72">
        <v>-1.5151515151515138E-2</v>
      </c>
      <c r="AI450" s="72">
        <v>2.3076923076922995E-2</v>
      </c>
      <c r="AJ450" s="72">
        <v>-5.2631578947368474E-2</v>
      </c>
      <c r="AK450" s="24"/>
      <c r="AL450" s="72">
        <v>-4.7619047619047672E-2</v>
      </c>
      <c r="AM450" s="72">
        <v>5.0000000000000044E-2</v>
      </c>
      <c r="AN450" s="72">
        <v>4.7619047619047672E-2</v>
      </c>
      <c r="AO450" s="72">
        <v>-0.18939393939393945</v>
      </c>
      <c r="AP450" s="24"/>
      <c r="AQ450" s="72">
        <v>0.10280373831775691</v>
      </c>
      <c r="AR450" s="72">
        <v>3.3898305084745672E-2</v>
      </c>
      <c r="AS450" s="72">
        <v>-1.6393442622950838E-2</v>
      </c>
      <c r="AT450" s="72">
        <v>3.3333333333333437E-2</v>
      </c>
      <c r="AU450" s="24"/>
      <c r="AV450" s="72">
        <v>-0.12096774193548387</v>
      </c>
      <c r="AW450" s="72">
        <v>-5.5045871559633031E-2</v>
      </c>
      <c r="AX450" s="72">
        <v>-8.737864077669899E-2</v>
      </c>
      <c r="AY450" s="72">
        <v>-0.1063829787234043</v>
      </c>
      <c r="AZ450" s="24"/>
      <c r="BA450" s="72">
        <v>-0.3214285714285714</v>
      </c>
      <c r="BB450" s="72">
        <v>-0.22807017543859653</v>
      </c>
      <c r="BC450" s="72">
        <v>0.29545454545454541</v>
      </c>
      <c r="BD450" s="72"/>
      <c r="BE450" s="24"/>
    </row>
    <row r="451" spans="1:57" hidden="1">
      <c r="A451" s="71" t="s">
        <v>8</v>
      </c>
      <c r="B451" s="24"/>
      <c r="C451" s="73"/>
      <c r="D451" s="73"/>
      <c r="E451" s="73"/>
      <c r="F451" s="73"/>
      <c r="G451" s="24">
        <f>G449/B449-1</f>
        <v>0.4156050046183557</v>
      </c>
      <c r="H451" s="73"/>
      <c r="I451" s="73"/>
      <c r="J451" s="73"/>
      <c r="K451" s="73"/>
      <c r="L451" s="24">
        <f t="shared" ref="L451:AD451" si="316">L449/G449-1</f>
        <v>0.15866948543281589</v>
      </c>
      <c r="M451" s="73">
        <f t="shared" si="316"/>
        <v>3.6185050427677723E-2</v>
      </c>
      <c r="N451" s="73">
        <f t="shared" si="316"/>
        <v>-0.38716665421677754</v>
      </c>
      <c r="O451" s="73">
        <f t="shared" si="316"/>
        <v>0.15350503730556864</v>
      </c>
      <c r="P451" s="73">
        <f t="shared" si="316"/>
        <v>-8.3513574587597117E-2</v>
      </c>
      <c r="Q451" s="24">
        <f t="shared" si="316"/>
        <v>-7.014051857949688E-2</v>
      </c>
      <c r="R451" s="73">
        <f t="shared" si="316"/>
        <v>2.9169201389156241E-2</v>
      </c>
      <c r="S451" s="73">
        <f t="shared" si="316"/>
        <v>0.82787529118587133</v>
      </c>
      <c r="T451" s="73">
        <f t="shared" si="316"/>
        <v>6.3220364997111922E-3</v>
      </c>
      <c r="U451" s="73">
        <f t="shared" si="316"/>
        <v>0.62327404015498411</v>
      </c>
      <c r="V451" s="24">
        <f t="shared" si="316"/>
        <v>0.30073643086490986</v>
      </c>
      <c r="W451" s="73">
        <f t="shared" si="316"/>
        <v>8.0927190967519991E-2</v>
      </c>
      <c r="X451" s="73">
        <f t="shared" si="316"/>
        <v>0.13348102813363671</v>
      </c>
      <c r="Y451" s="73">
        <f t="shared" si="316"/>
        <v>-5.5262622741270029E-2</v>
      </c>
      <c r="Z451" s="73">
        <f t="shared" si="316"/>
        <v>-0.2330271944623763</v>
      </c>
      <c r="AA451" s="24">
        <f t="shared" si="316"/>
        <v>-3.6797310041124631E-2</v>
      </c>
      <c r="AB451" s="73">
        <f t="shared" si="316"/>
        <v>-0.121411810309621</v>
      </c>
      <c r="AC451" s="73">
        <f t="shared" si="316"/>
        <v>-0.18969394291989705</v>
      </c>
      <c r="AD451" s="73">
        <f t="shared" si="316"/>
        <v>2.0833493492416144E-2</v>
      </c>
      <c r="AE451" s="73">
        <f t="shared" ref="AE451" si="317">AE449/Z449-1</f>
        <v>-0.14186995607675601</v>
      </c>
      <c r="AF451" s="24">
        <v>-0.11233294721281339</v>
      </c>
      <c r="AG451" s="73">
        <v>3.996785553901061E-2</v>
      </c>
      <c r="AH451" s="73">
        <v>4.8733855549012217E-2</v>
      </c>
      <c r="AI451" s="73">
        <v>1.5889870395890959E-3</v>
      </c>
      <c r="AJ451" s="73">
        <v>3.8532866268287558E-2</v>
      </c>
      <c r="AK451" s="24">
        <v>3.1683168316831711E-2</v>
      </c>
      <c r="AL451" s="73">
        <v>-9.0909090909090939E-2</v>
      </c>
      <c r="AM451" s="73">
        <v>-3.0769230769230771E-2</v>
      </c>
      <c r="AN451" s="73">
        <v>-7.5187969924812581E-3</v>
      </c>
      <c r="AO451" s="73">
        <v>-0.15079365079365081</v>
      </c>
      <c r="AP451" s="24">
        <v>-6.9097888675623831E-2</v>
      </c>
      <c r="AQ451" s="73">
        <v>-1.6666666666666718E-2</v>
      </c>
      <c r="AR451" s="73">
        <v>-3.1746031746031744E-2</v>
      </c>
      <c r="AS451" s="73">
        <v>-9.0909090909090939E-2</v>
      </c>
      <c r="AT451" s="73">
        <v>0.1588785046728971</v>
      </c>
      <c r="AU451" s="24">
        <v>-2.0618556701030855E-3</v>
      </c>
      <c r="AV451" s="73">
        <v>-7.6271186440677985E-2</v>
      </c>
      <c r="AW451" s="73">
        <v>-0.15573770491803274</v>
      </c>
      <c r="AX451" s="73">
        <v>-0.21666666666666667</v>
      </c>
      <c r="AY451" s="73">
        <v>-0.32258064516129037</v>
      </c>
      <c r="AZ451" s="24">
        <v>-0.19421487603305787</v>
      </c>
      <c r="BA451" s="73">
        <v>-0.47706422018348627</v>
      </c>
      <c r="BB451" s="73">
        <v>-0.57281553398058249</v>
      </c>
      <c r="BC451" s="73">
        <v>-0.3936170212765957</v>
      </c>
      <c r="BD451" s="73"/>
      <c r="BE451" s="24"/>
    </row>
    <row r="452" spans="1:57" hidden="1">
      <c r="A452" s="69" t="s">
        <v>84</v>
      </c>
      <c r="B452" s="37">
        <v>137.679</v>
      </c>
      <c r="C452" s="80" t="s">
        <v>52</v>
      </c>
      <c r="D452" s="80" t="s">
        <v>52</v>
      </c>
      <c r="E452" s="80" t="s">
        <v>52</v>
      </c>
      <c r="F452" s="80" t="s">
        <v>52</v>
      </c>
      <c r="G452" s="37">
        <v>128.16200000000001</v>
      </c>
      <c r="H452" s="70">
        <v>28.420999999999999</v>
      </c>
      <c r="I452" s="70">
        <v>33.017000000000003</v>
      </c>
      <c r="J452" s="70">
        <v>28.779</v>
      </c>
      <c r="K452" s="70">
        <f>L452-J452-I452-H452</f>
        <v>32.094999999999999</v>
      </c>
      <c r="L452" s="37">
        <v>122.312</v>
      </c>
      <c r="M452" s="70">
        <v>38.936</v>
      </c>
      <c r="N452" s="70">
        <v>33.042000000000002</v>
      </c>
      <c r="O452" s="70">
        <v>31.542999999999999</v>
      </c>
      <c r="P452" s="70">
        <f>Q452-O452-N452-M452</f>
        <v>39.68099999999999</v>
      </c>
      <c r="Q452" s="37">
        <v>143.202</v>
      </c>
      <c r="R452" s="70">
        <v>40.058999999999997</v>
      </c>
      <c r="S452" s="70">
        <v>34.738</v>
      </c>
      <c r="T452" s="70">
        <v>37.170999999999999</v>
      </c>
      <c r="U452" s="70">
        <f>V452-T452-S452-R452</f>
        <v>40.769000000000005</v>
      </c>
      <c r="V452" s="37">
        <v>152.73699999999999</v>
      </c>
      <c r="W452" s="70">
        <v>53.506999999999998</v>
      </c>
      <c r="X452" s="70">
        <v>41.585000000000001</v>
      </c>
      <c r="Y452" s="70">
        <v>40.06</v>
      </c>
      <c r="Z452" s="70">
        <f>AA452-Y452-X452-W452</f>
        <v>31.121999999999993</v>
      </c>
      <c r="AA452" s="37">
        <v>166.274</v>
      </c>
      <c r="AB452" s="70">
        <v>39.119</v>
      </c>
      <c r="AC452" s="70">
        <v>36.228999999999999</v>
      </c>
      <c r="AD452" s="70">
        <v>41.195999999999998</v>
      </c>
      <c r="AE452" s="70">
        <f>AF452-AD452-AC452-AB452</f>
        <v>37.167999999999992</v>
      </c>
      <c r="AF452" s="37">
        <v>153.71199999999999</v>
      </c>
      <c r="AG452" s="70">
        <v>40</v>
      </c>
      <c r="AH452" s="147">
        <v>40</v>
      </c>
      <c r="AI452" s="70">
        <v>34</v>
      </c>
      <c r="AJ452" s="70">
        <v>40</v>
      </c>
      <c r="AK452" s="37">
        <v>154</v>
      </c>
      <c r="AL452" s="70">
        <v>36</v>
      </c>
      <c r="AM452" s="70">
        <v>35</v>
      </c>
      <c r="AN452" s="70">
        <v>37</v>
      </c>
      <c r="AO452" s="70">
        <v>32</v>
      </c>
      <c r="AP452" s="37">
        <v>140</v>
      </c>
      <c r="AQ452" s="70">
        <v>38</v>
      </c>
      <c r="AR452" s="70">
        <v>24</v>
      </c>
      <c r="AS452" s="70">
        <v>35</v>
      </c>
      <c r="AT452" s="70">
        <v>31</v>
      </c>
      <c r="AU452" s="37">
        <v>128</v>
      </c>
      <c r="AV452" s="70">
        <v>35</v>
      </c>
      <c r="AW452" s="70">
        <v>29</v>
      </c>
      <c r="AX452" s="70">
        <v>34</v>
      </c>
      <c r="AY452" s="70">
        <v>33</v>
      </c>
      <c r="AZ452" s="37">
        <v>131</v>
      </c>
      <c r="BA452" s="70">
        <v>35</v>
      </c>
      <c r="BB452" s="70">
        <v>31</v>
      </c>
      <c r="BC452" s="70">
        <v>34</v>
      </c>
      <c r="BD452" s="70"/>
      <c r="BE452" s="37"/>
    </row>
    <row r="453" spans="1:57" hidden="1">
      <c r="A453" s="71" t="s">
        <v>7</v>
      </c>
      <c r="B453" s="24"/>
      <c r="C453" s="72"/>
      <c r="D453" s="72"/>
      <c r="E453" s="72"/>
      <c r="F453" s="72"/>
      <c r="G453" s="24"/>
      <c r="H453" s="72"/>
      <c r="I453" s="72">
        <f>I452/H452-1</f>
        <v>0.16171141057668637</v>
      </c>
      <c r="J453" s="72">
        <f>J452/I452-1</f>
        <v>-0.12835811854499202</v>
      </c>
      <c r="K453" s="72">
        <f>K452/J452-1</f>
        <v>0.11522290559088222</v>
      </c>
      <c r="L453" s="24"/>
      <c r="M453" s="72">
        <f>M452/K452-1</f>
        <v>0.21314846549306754</v>
      </c>
      <c r="N453" s="72">
        <f>N452/M452-1</f>
        <v>-0.15137661803986024</v>
      </c>
      <c r="O453" s="72">
        <f>O452/N452-1</f>
        <v>-4.5366503238302824E-2</v>
      </c>
      <c r="P453" s="72">
        <f>P452/O452-1</f>
        <v>0.25799701994103263</v>
      </c>
      <c r="Q453" s="24"/>
      <c r="R453" s="72">
        <f>R452/P452-1</f>
        <v>9.5259696076208655E-3</v>
      </c>
      <c r="S453" s="72">
        <f>S452/R452-1</f>
        <v>-0.1328290771112608</v>
      </c>
      <c r="T453" s="72">
        <f>T452/S452-1</f>
        <v>7.0038574471759985E-2</v>
      </c>
      <c r="U453" s="72">
        <f>U452/T452-1</f>
        <v>9.67958892685159E-2</v>
      </c>
      <c r="V453" s="24"/>
      <c r="W453" s="72">
        <f>W452/U452-1</f>
        <v>0.31244327798081861</v>
      </c>
      <c r="X453" s="72">
        <f>X452/W452-1</f>
        <v>-0.22281196852748231</v>
      </c>
      <c r="Y453" s="72">
        <f>Y452/X452-1</f>
        <v>-3.667187687868223E-2</v>
      </c>
      <c r="Z453" s="72">
        <f>Z452/Y452-1</f>
        <v>-0.223115327009486</v>
      </c>
      <c r="AA453" s="24"/>
      <c r="AB453" s="72">
        <f>AB452/Z452-1</f>
        <v>0.25695649379859931</v>
      </c>
      <c r="AC453" s="72">
        <f>AC452/AB452-1</f>
        <v>-7.3877144098775549E-2</v>
      </c>
      <c r="AD453" s="72">
        <f>AD452/AC452-1</f>
        <v>0.13710011316900816</v>
      </c>
      <c r="AE453" s="72">
        <f>AE452/AD452-1</f>
        <v>-9.7776483153704352E-2</v>
      </c>
      <c r="AF453" s="24"/>
      <c r="AG453" s="72">
        <v>7.6194575979337209E-2</v>
      </c>
      <c r="AH453" s="165">
        <v>0</v>
      </c>
      <c r="AI453" s="72">
        <v>-0.15000000000000002</v>
      </c>
      <c r="AJ453" s="72">
        <v>0.17647058823529416</v>
      </c>
      <c r="AK453" s="24"/>
      <c r="AL453" s="72">
        <v>-9.9999999999999978E-2</v>
      </c>
      <c r="AM453" s="72">
        <v>-2.777777777777779E-2</v>
      </c>
      <c r="AN453" s="72">
        <v>5.7142857142857162E-2</v>
      </c>
      <c r="AO453" s="72">
        <v>-0.13513513513513509</v>
      </c>
      <c r="AP453" s="24"/>
      <c r="AQ453" s="72">
        <v>0.1875</v>
      </c>
      <c r="AR453" s="72">
        <v>-0.36842105263157898</v>
      </c>
      <c r="AS453" s="72">
        <v>0.45833333333333326</v>
      </c>
      <c r="AT453" s="72">
        <v>-0.11428571428571432</v>
      </c>
      <c r="AU453" s="24"/>
      <c r="AV453" s="72">
        <v>0.12903225806451624</v>
      </c>
      <c r="AW453" s="72">
        <v>-0.17142857142857137</v>
      </c>
      <c r="AX453" s="72">
        <v>0.17241379310344818</v>
      </c>
      <c r="AY453" s="72">
        <v>-2.9411764705882359E-2</v>
      </c>
      <c r="AZ453" s="24"/>
      <c r="BA453" s="72">
        <v>6.0606060606060552E-2</v>
      </c>
      <c r="BB453" s="72">
        <v>-0.11428571428571432</v>
      </c>
      <c r="BC453" s="72">
        <v>9.6774193548387011E-2</v>
      </c>
      <c r="BD453" s="72"/>
      <c r="BE453" s="24"/>
    </row>
    <row r="454" spans="1:57" hidden="1">
      <c r="A454" s="71" t="s">
        <v>8</v>
      </c>
      <c r="B454" s="24"/>
      <c r="C454" s="73"/>
      <c r="D454" s="73"/>
      <c r="E454" s="73"/>
      <c r="F454" s="73"/>
      <c r="G454" s="24">
        <f>G452/B452-1</f>
        <v>-6.9124557848328272E-2</v>
      </c>
      <c r="H454" s="73"/>
      <c r="I454" s="73"/>
      <c r="J454" s="73"/>
      <c r="K454" s="73"/>
      <c r="L454" s="24">
        <f t="shared" ref="L454:AD454" si="318">L452/G452-1</f>
        <v>-4.5645355097454821E-2</v>
      </c>
      <c r="M454" s="73">
        <f t="shared" si="318"/>
        <v>0.36997290735723598</v>
      </c>
      <c r="N454" s="73">
        <f t="shared" si="318"/>
        <v>7.5718569221905341E-4</v>
      </c>
      <c r="O454" s="73">
        <f t="shared" si="318"/>
        <v>9.6042253031724423E-2</v>
      </c>
      <c r="P454" s="73">
        <f t="shared" si="318"/>
        <v>0.23636080386352987</v>
      </c>
      <c r="Q454" s="24">
        <f t="shared" si="318"/>
        <v>0.17079272679704371</v>
      </c>
      <c r="R454" s="73">
        <f t="shared" si="318"/>
        <v>2.8842202588863719E-2</v>
      </c>
      <c r="S454" s="73">
        <f t="shared" si="318"/>
        <v>5.1328612069487356E-2</v>
      </c>
      <c r="T454" s="73">
        <f t="shared" si="318"/>
        <v>0.17842310496782177</v>
      </c>
      <c r="U454" s="73">
        <f t="shared" si="318"/>
        <v>2.7418663844157587E-2</v>
      </c>
      <c r="V454" s="24">
        <f t="shared" si="318"/>
        <v>6.6584265582882995E-2</v>
      </c>
      <c r="W454" s="73">
        <f t="shared" si="318"/>
        <v>0.33570483536783247</v>
      </c>
      <c r="X454" s="73">
        <f t="shared" si="318"/>
        <v>0.19710403592607517</v>
      </c>
      <c r="Y454" s="73">
        <f t="shared" si="318"/>
        <v>7.7721879960184204E-2</v>
      </c>
      <c r="Z454" s="73">
        <f t="shared" si="318"/>
        <v>-0.23662586769359095</v>
      </c>
      <c r="AA454" s="24">
        <f t="shared" si="318"/>
        <v>8.8629474194203084E-2</v>
      </c>
      <c r="AB454" s="73">
        <f t="shared" si="318"/>
        <v>-0.26889939634066573</v>
      </c>
      <c r="AC454" s="73">
        <f t="shared" si="318"/>
        <v>-0.1287964410244079</v>
      </c>
      <c r="AD454" s="73">
        <f t="shared" si="318"/>
        <v>2.8357463804293381E-2</v>
      </c>
      <c r="AE454" s="73">
        <f t="shared" ref="AE454" si="319">AE452/Z452-1</f>
        <v>0.19426772058351016</v>
      </c>
      <c r="AF454" s="24">
        <v>-7.5549995790081481E-2</v>
      </c>
      <c r="AG454" s="73">
        <v>2.2521025588588595E-2</v>
      </c>
      <c r="AH454" s="164">
        <v>0.10408788539567748</v>
      </c>
      <c r="AI454" s="73">
        <v>-0.17467715312166221</v>
      </c>
      <c r="AJ454" s="73">
        <v>7.6194575979337209E-2</v>
      </c>
      <c r="AK454" s="24">
        <v>1.8736338086813298E-3</v>
      </c>
      <c r="AL454" s="73">
        <v>-9.9999999999999978E-2</v>
      </c>
      <c r="AM454" s="73">
        <v>-0.125</v>
      </c>
      <c r="AN454" s="73">
        <v>8.8235294117646967E-2</v>
      </c>
      <c r="AO454" s="73">
        <v>-0.19999999999999996</v>
      </c>
      <c r="AP454" s="24">
        <v>-9.0909090909090939E-2</v>
      </c>
      <c r="AQ454" s="73">
        <v>5.555555555555558E-2</v>
      </c>
      <c r="AR454" s="73">
        <v>-0.31428571428571428</v>
      </c>
      <c r="AS454" s="73">
        <v>-5.4054054054054057E-2</v>
      </c>
      <c r="AT454" s="73">
        <v>-3.125E-2</v>
      </c>
      <c r="AU454" s="24">
        <v>-8.5714285714285743E-2</v>
      </c>
      <c r="AV454" s="73">
        <v>-7.8947368421052655E-2</v>
      </c>
      <c r="AW454" s="73">
        <v>0.20833333333333326</v>
      </c>
      <c r="AX454" s="73">
        <v>-2.8571428571428581E-2</v>
      </c>
      <c r="AY454" s="73">
        <v>6.4516129032258007E-2</v>
      </c>
      <c r="AZ454" s="24">
        <v>2.34375E-2</v>
      </c>
      <c r="BA454" s="73">
        <v>0</v>
      </c>
      <c r="BB454" s="73">
        <v>6.8965517241379226E-2</v>
      </c>
      <c r="BC454" s="73">
        <v>0</v>
      </c>
      <c r="BD454" s="73"/>
      <c r="BE454" s="24"/>
    </row>
    <row r="455" spans="1:57" hidden="1">
      <c r="A455" s="69" t="s">
        <v>85</v>
      </c>
      <c r="B455" s="37">
        <v>104.047</v>
      </c>
      <c r="C455" s="80" t="s">
        <v>52</v>
      </c>
      <c r="D455" s="80" t="s">
        <v>52</v>
      </c>
      <c r="E455" s="80" t="s">
        <v>52</v>
      </c>
      <c r="F455" s="80" t="s">
        <v>52</v>
      </c>
      <c r="G455" s="37">
        <v>116.151</v>
      </c>
      <c r="H455" s="70">
        <v>30.957000000000001</v>
      </c>
      <c r="I455" s="70">
        <v>28.411999999999999</v>
      </c>
      <c r="J455" s="70">
        <v>29.175000000000001</v>
      </c>
      <c r="K455" s="70">
        <f>L455-J455-I455-H455</f>
        <v>29.26100000000001</v>
      </c>
      <c r="L455" s="37">
        <v>117.80500000000001</v>
      </c>
      <c r="M455" s="70">
        <v>32.235999999999997</v>
      </c>
      <c r="N455" s="70">
        <v>33.509</v>
      </c>
      <c r="O455" s="70">
        <v>33.537999999999997</v>
      </c>
      <c r="P455" s="70">
        <f>Q455-O455-N455-M455</f>
        <v>33.278000000000013</v>
      </c>
      <c r="Q455" s="37">
        <v>132.56100000000001</v>
      </c>
      <c r="R455" s="70">
        <v>32.222000000000001</v>
      </c>
      <c r="S455" s="70">
        <v>34.911999999999999</v>
      </c>
      <c r="T455" s="70">
        <v>37.152999999999999</v>
      </c>
      <c r="U455" s="70">
        <f>V455-T455-S455-R455</f>
        <v>38.749000000000002</v>
      </c>
      <c r="V455" s="37">
        <v>143.036</v>
      </c>
      <c r="W455" s="70">
        <v>39.354999999999997</v>
      </c>
      <c r="X455" s="70">
        <v>36.905000000000001</v>
      </c>
      <c r="Y455" s="70">
        <v>36.029000000000003</v>
      </c>
      <c r="Z455" s="70">
        <f>AA455-Y455-X455-W455</f>
        <v>37.594999999999992</v>
      </c>
      <c r="AA455" s="37">
        <v>149.88399999999999</v>
      </c>
      <c r="AB455" s="70">
        <f>38.879-18.5</f>
        <v>20.378999999999998</v>
      </c>
      <c r="AC455" s="70">
        <f>39.146-19</f>
        <v>20.146000000000001</v>
      </c>
      <c r="AD455" s="70">
        <f>38.885-19.7</f>
        <v>19.184999999999999</v>
      </c>
      <c r="AE455" s="70">
        <f>AF455-AD455-AC455-AB455</f>
        <v>24.29</v>
      </c>
      <c r="AF455" s="37">
        <v>84</v>
      </c>
      <c r="AG455" s="70">
        <v>20</v>
      </c>
      <c r="AH455" s="147">
        <v>23</v>
      </c>
      <c r="AI455" s="70">
        <v>23</v>
      </c>
      <c r="AJ455" s="70">
        <v>28</v>
      </c>
      <c r="AK455" s="37">
        <v>94</v>
      </c>
      <c r="AL455" s="70">
        <v>25</v>
      </c>
      <c r="AM455" s="70">
        <v>21</v>
      </c>
      <c r="AN455" s="70">
        <v>21</v>
      </c>
      <c r="AO455" s="70">
        <v>28</v>
      </c>
      <c r="AP455" s="37">
        <v>95</v>
      </c>
      <c r="AQ455" s="70">
        <v>23</v>
      </c>
      <c r="AR455" s="70">
        <v>21</v>
      </c>
      <c r="AS455" s="70">
        <v>23</v>
      </c>
      <c r="AT455" s="70">
        <v>25</v>
      </c>
      <c r="AU455" s="37">
        <v>92</v>
      </c>
      <c r="AV455" s="70">
        <v>22</v>
      </c>
      <c r="AW455" s="70">
        <v>25</v>
      </c>
      <c r="AX455" s="70">
        <v>25</v>
      </c>
      <c r="AY455" s="70">
        <v>24</v>
      </c>
      <c r="AZ455" s="37">
        <v>96</v>
      </c>
      <c r="BA455" s="70">
        <v>23</v>
      </c>
      <c r="BB455" s="70">
        <v>30</v>
      </c>
      <c r="BC455" s="70">
        <v>22</v>
      </c>
      <c r="BD455" s="70"/>
      <c r="BE455" s="37"/>
    </row>
    <row r="456" spans="1:57" hidden="1">
      <c r="A456" s="71" t="s">
        <v>7</v>
      </c>
      <c r="B456" s="24"/>
      <c r="C456" s="72"/>
      <c r="D456" s="72"/>
      <c r="E456" s="72"/>
      <c r="F456" s="72"/>
      <c r="G456" s="24"/>
      <c r="H456" s="72"/>
      <c r="I456" s="72">
        <f>I455/H455-1</f>
        <v>-8.2210808540879365E-2</v>
      </c>
      <c r="J456" s="72">
        <f>J455/I455-1</f>
        <v>2.6854850063353641E-2</v>
      </c>
      <c r="K456" s="72">
        <f>K455/J455-1</f>
        <v>2.9477292202231276E-3</v>
      </c>
      <c r="L456" s="24"/>
      <c r="M456" s="72">
        <f>M455/K455-1</f>
        <v>0.10167116639896068</v>
      </c>
      <c r="N456" s="72">
        <f>N455/M455-1</f>
        <v>3.9490011167638839E-2</v>
      </c>
      <c r="O456" s="72">
        <f>O455/N455-1</f>
        <v>8.6543913575454212E-4</v>
      </c>
      <c r="P456" s="72">
        <f>P455/O455-1</f>
        <v>-7.7524002623884369E-3</v>
      </c>
      <c r="Q456" s="24"/>
      <c r="R456" s="72">
        <f>R455/P455-1</f>
        <v>-3.173267624256304E-2</v>
      </c>
      <c r="S456" s="72">
        <f>S455/R455-1</f>
        <v>8.3483334367823181E-2</v>
      </c>
      <c r="T456" s="72">
        <f>T455/S455-1</f>
        <v>6.4189963336388711E-2</v>
      </c>
      <c r="U456" s="72">
        <f>U455/T455-1</f>
        <v>4.2957500067289489E-2</v>
      </c>
      <c r="V456" s="24"/>
      <c r="W456" s="72">
        <f>W455/U455-1</f>
        <v>1.5639113267438942E-2</v>
      </c>
      <c r="X456" s="72">
        <f>X455/W455-1</f>
        <v>-6.2253843221953931E-2</v>
      </c>
      <c r="Y456" s="72">
        <f>Y455/X455-1</f>
        <v>-2.3736621054057605E-2</v>
      </c>
      <c r="Z456" s="72">
        <f>Z455/Y455-1</f>
        <v>4.3464986538621408E-2</v>
      </c>
      <c r="AA456" s="24"/>
      <c r="AB456" s="72">
        <f>AB455/Z455-1</f>
        <v>-0.45793323580263323</v>
      </c>
      <c r="AC456" s="72">
        <f>AC455/AB455-1</f>
        <v>-1.1433338240345314E-2</v>
      </c>
      <c r="AD456" s="72">
        <f>AD455/AC455-1</f>
        <v>-4.7701777027697956E-2</v>
      </c>
      <c r="AE456" s="72">
        <f>AE455/AD455-1</f>
        <v>0.26609330205890025</v>
      </c>
      <c r="AF456" s="24"/>
      <c r="AG456" s="72">
        <v>-0.17661589131329758</v>
      </c>
      <c r="AH456" s="72">
        <v>0.14999999999999991</v>
      </c>
      <c r="AI456" s="72">
        <v>0</v>
      </c>
      <c r="AJ456" s="72">
        <v>0.21739130434782616</v>
      </c>
      <c r="AK456" s="24"/>
      <c r="AL456" s="72">
        <v>-0.1071428571428571</v>
      </c>
      <c r="AM456" s="72">
        <v>-0.16000000000000003</v>
      </c>
      <c r="AN456" s="72">
        <v>0</v>
      </c>
      <c r="AO456" s="72">
        <v>0.33333333333333326</v>
      </c>
      <c r="AP456" s="24"/>
      <c r="AQ456" s="72">
        <v>-0.1785714285714286</v>
      </c>
      <c r="AR456" s="72">
        <v>-8.6956521739130488E-2</v>
      </c>
      <c r="AS456" s="72">
        <v>9.5238095238095344E-2</v>
      </c>
      <c r="AT456" s="72">
        <v>8.6956521739130377E-2</v>
      </c>
      <c r="AU456" s="24"/>
      <c r="AV456" s="72">
        <v>-0.12</v>
      </c>
      <c r="AW456" s="72">
        <v>0.13636363636363646</v>
      </c>
      <c r="AX456" s="72">
        <v>0</v>
      </c>
      <c r="AY456" s="72">
        <v>-4.0000000000000036E-2</v>
      </c>
      <c r="AZ456" s="24"/>
      <c r="BA456" s="72">
        <v>-4.166666666666663E-2</v>
      </c>
      <c r="BB456" s="72">
        <v>0.30434782608695654</v>
      </c>
      <c r="BC456" s="72">
        <v>-0.26666666666666672</v>
      </c>
      <c r="BD456" s="72"/>
      <c r="BE456" s="24"/>
    </row>
    <row r="457" spans="1:57" hidden="1">
      <c r="A457" s="71" t="s">
        <v>8</v>
      </c>
      <c r="B457" s="24"/>
      <c r="C457" s="73"/>
      <c r="D457" s="73"/>
      <c r="E457" s="73"/>
      <c r="F457" s="73"/>
      <c r="G457" s="24">
        <f>G455/B455-1</f>
        <v>0.11633204225013705</v>
      </c>
      <c r="H457" s="73"/>
      <c r="I457" s="73"/>
      <c r="J457" s="73"/>
      <c r="K457" s="73"/>
      <c r="L457" s="24">
        <f t="shared" ref="L457:AD457" si="320">L455/G455-1</f>
        <v>1.4240084028549038E-2</v>
      </c>
      <c r="M457" s="73">
        <f t="shared" si="320"/>
        <v>4.1315372936653993E-2</v>
      </c>
      <c r="N457" s="73">
        <f t="shared" si="320"/>
        <v>0.17939602984654379</v>
      </c>
      <c r="O457" s="73">
        <f t="shared" si="320"/>
        <v>0.14954584404455851</v>
      </c>
      <c r="P457" s="73">
        <f t="shared" si="320"/>
        <v>0.1372817060250846</v>
      </c>
      <c r="Q457" s="24">
        <f t="shared" si="320"/>
        <v>0.12525784134799034</v>
      </c>
      <c r="R457" s="73">
        <f t="shared" si="320"/>
        <v>-4.3429705918840433E-4</v>
      </c>
      <c r="S457" s="73">
        <f t="shared" si="320"/>
        <v>4.1869348533229767E-2</v>
      </c>
      <c r="T457" s="73">
        <f t="shared" si="320"/>
        <v>0.10778818057129236</v>
      </c>
      <c r="U457" s="73">
        <f t="shared" si="320"/>
        <v>0.16440290882865516</v>
      </c>
      <c r="V457" s="24">
        <f t="shared" si="320"/>
        <v>7.9020224651292548E-2</v>
      </c>
      <c r="W457" s="73">
        <f t="shared" si="320"/>
        <v>0.22137049221029104</v>
      </c>
      <c r="X457" s="73">
        <f t="shared" si="320"/>
        <v>5.7086388634280505E-2</v>
      </c>
      <c r="Y457" s="73">
        <f t="shared" si="320"/>
        <v>-3.0253276989745004E-2</v>
      </c>
      <c r="Z457" s="73">
        <f t="shared" si="320"/>
        <v>-2.9781413713902527E-2</v>
      </c>
      <c r="AA457" s="24">
        <f t="shared" si="320"/>
        <v>4.7876059173914243E-2</v>
      </c>
      <c r="AB457" s="73">
        <f t="shared" si="320"/>
        <v>-0.48217507305297935</v>
      </c>
      <c r="AC457" s="73">
        <f t="shared" si="320"/>
        <v>-0.45411190895542608</v>
      </c>
      <c r="AD457" s="73">
        <f t="shared" si="320"/>
        <v>-0.46751228177301629</v>
      </c>
      <c r="AE457" s="73">
        <f t="shared" ref="AE457" si="321">AE455/Z455-1</f>
        <v>-0.35390344460699552</v>
      </c>
      <c r="AF457" s="24">
        <v>-0.43956659816925081</v>
      </c>
      <c r="AG457" s="73">
        <v>-1.8597575936012412E-2</v>
      </c>
      <c r="AH457" s="73">
        <v>0.14166583937258004</v>
      </c>
      <c r="AI457" s="73">
        <v>0.19885327078446702</v>
      </c>
      <c r="AJ457" s="73">
        <v>0.1527377521613833</v>
      </c>
      <c r="AK457" s="24">
        <v>0.11904761904761907</v>
      </c>
      <c r="AL457" s="73">
        <v>0.25</v>
      </c>
      <c r="AM457" s="73">
        <v>-8.6956521739130488E-2</v>
      </c>
      <c r="AN457" s="73">
        <v>-8.6956521739130488E-2</v>
      </c>
      <c r="AO457" s="73">
        <v>0</v>
      </c>
      <c r="AP457" s="24">
        <v>1.0638297872340496E-2</v>
      </c>
      <c r="AQ457" s="73">
        <v>-7.999999999999996E-2</v>
      </c>
      <c r="AR457" s="73">
        <v>0</v>
      </c>
      <c r="AS457" s="73">
        <v>9.5238095238095344E-2</v>
      </c>
      <c r="AT457" s="73">
        <v>-0.1071428571428571</v>
      </c>
      <c r="AU457" s="24">
        <v>-3.157894736842104E-2</v>
      </c>
      <c r="AV457" s="73">
        <v>-4.3478260869565188E-2</v>
      </c>
      <c r="AW457" s="73">
        <v>0.19047619047619047</v>
      </c>
      <c r="AX457" s="73">
        <v>8.6956521739130377E-2</v>
      </c>
      <c r="AY457" s="73">
        <v>-4.0000000000000036E-2</v>
      </c>
      <c r="AZ457" s="24">
        <v>4.3478260869565188E-2</v>
      </c>
      <c r="BA457" s="73">
        <v>4.5454545454545414E-2</v>
      </c>
      <c r="BB457" s="73">
        <v>0.19999999999999996</v>
      </c>
      <c r="BC457" s="73">
        <v>-0.12</v>
      </c>
      <c r="BD457" s="73"/>
      <c r="BE457" s="24"/>
    </row>
    <row r="458" spans="1:57">
      <c r="A458" s="69" t="s">
        <v>252</v>
      </c>
      <c r="B458" s="24"/>
      <c r="C458" s="73"/>
      <c r="D458" s="73"/>
      <c r="E458" s="73"/>
      <c r="F458" s="73"/>
      <c r="G458" s="24"/>
      <c r="H458" s="73"/>
      <c r="I458" s="73"/>
      <c r="J458" s="73"/>
      <c r="K458" s="73"/>
      <c r="L458" s="24"/>
      <c r="M458" s="73"/>
      <c r="N458" s="73"/>
      <c r="O458" s="73"/>
      <c r="P458" s="73"/>
      <c r="Q458" s="24"/>
      <c r="R458" s="73"/>
      <c r="S458" s="73"/>
      <c r="T458" s="73"/>
      <c r="U458" s="73"/>
      <c r="V458" s="24"/>
      <c r="W458" s="73"/>
      <c r="X458" s="73"/>
      <c r="Y458" s="73"/>
      <c r="Z458" s="73"/>
      <c r="AA458" s="24"/>
      <c r="AB458" s="73"/>
      <c r="AC458" s="73"/>
      <c r="AD458" s="73"/>
      <c r="AE458" s="73"/>
      <c r="AF458" s="63" t="s">
        <v>147</v>
      </c>
      <c r="AG458" s="186" t="s">
        <v>147</v>
      </c>
      <c r="AH458" s="186" t="s">
        <v>147</v>
      </c>
      <c r="AI458" s="186" t="s">
        <v>147</v>
      </c>
      <c r="AJ458" s="186" t="s">
        <v>147</v>
      </c>
      <c r="AK458" s="63" t="s">
        <v>147</v>
      </c>
      <c r="AL458" s="186" t="s">
        <v>147</v>
      </c>
      <c r="AM458" s="186" t="s">
        <v>147</v>
      </c>
      <c r="AN458" s="186" t="s">
        <v>147</v>
      </c>
      <c r="AO458" s="186" t="s">
        <v>147</v>
      </c>
      <c r="AP458" s="63" t="s">
        <v>147</v>
      </c>
      <c r="AQ458" s="186" t="s">
        <v>147</v>
      </c>
      <c r="AR458" s="186" t="s">
        <v>147</v>
      </c>
      <c r="AS458" s="186" t="s">
        <v>147</v>
      </c>
      <c r="AT458" s="186" t="s">
        <v>147</v>
      </c>
      <c r="AU458" s="63" t="s">
        <v>147</v>
      </c>
      <c r="AV458" s="186" t="s">
        <v>147</v>
      </c>
      <c r="AW458" s="186" t="s">
        <v>147</v>
      </c>
      <c r="AX458" s="186" t="s">
        <v>147</v>
      </c>
      <c r="AY458" s="186" t="s">
        <v>147</v>
      </c>
      <c r="AZ458" s="63" t="s">
        <v>147</v>
      </c>
      <c r="BA458" s="186" t="s">
        <v>147</v>
      </c>
      <c r="BB458" s="186" t="s">
        <v>147</v>
      </c>
      <c r="BC458" s="186" t="s">
        <v>147</v>
      </c>
      <c r="BD458" s="147">
        <v>1100</v>
      </c>
      <c r="BE458" s="230">
        <v>1100</v>
      </c>
    </row>
    <row r="459" spans="1:57" ht="4.2" customHeight="1">
      <c r="A459" s="69"/>
      <c r="B459" s="24"/>
      <c r="C459" s="73"/>
      <c r="D459" s="73"/>
      <c r="E459" s="73"/>
      <c r="F459" s="73"/>
      <c r="G459" s="24"/>
      <c r="H459" s="73"/>
      <c r="I459" s="73"/>
      <c r="J459" s="73"/>
      <c r="K459" s="73"/>
      <c r="L459" s="24"/>
      <c r="M459" s="73"/>
      <c r="N459" s="73"/>
      <c r="O459" s="73"/>
      <c r="P459" s="73"/>
      <c r="Q459" s="24"/>
      <c r="R459" s="73"/>
      <c r="S459" s="73"/>
      <c r="T459" s="73"/>
      <c r="U459" s="73"/>
      <c r="V459" s="24"/>
      <c r="W459" s="73"/>
      <c r="X459" s="73"/>
      <c r="Y459" s="73"/>
      <c r="Z459" s="73"/>
      <c r="AA459" s="24"/>
      <c r="AB459" s="73"/>
      <c r="AC459" s="73"/>
      <c r="AD459" s="73"/>
      <c r="AE459" s="73"/>
      <c r="AF459" s="24"/>
      <c r="AG459" s="73"/>
      <c r="AH459" s="73"/>
      <c r="AI459" s="73"/>
      <c r="AJ459" s="73"/>
      <c r="AK459" s="24"/>
      <c r="AL459" s="73"/>
      <c r="AM459" s="73"/>
      <c r="AN459" s="73"/>
      <c r="AO459" s="73"/>
      <c r="AP459" s="24"/>
      <c r="AQ459" s="73"/>
      <c r="AR459" s="73"/>
      <c r="AS459" s="73"/>
      <c r="AT459" s="73"/>
      <c r="AU459" s="24"/>
      <c r="AV459" s="73"/>
      <c r="AW459" s="73"/>
      <c r="AX459" s="73"/>
      <c r="AY459" s="73"/>
      <c r="AZ459" s="24"/>
      <c r="BA459" s="73"/>
      <c r="BB459" s="73"/>
      <c r="BC459" s="73"/>
      <c r="BD459" s="73"/>
      <c r="BE459" s="24"/>
    </row>
    <row r="460" spans="1:57">
      <c r="A460" s="69" t="s">
        <v>279</v>
      </c>
      <c r="B460" s="24"/>
      <c r="C460" s="73"/>
      <c r="D460" s="73"/>
      <c r="E460" s="73"/>
      <c r="F460" s="73"/>
      <c r="G460" s="24"/>
      <c r="H460" s="73"/>
      <c r="I460" s="73"/>
      <c r="J460" s="73"/>
      <c r="K460" s="73"/>
      <c r="L460" s="24"/>
      <c r="M460" s="73"/>
      <c r="N460" s="73"/>
      <c r="O460" s="73"/>
      <c r="P460" s="73"/>
      <c r="Q460" s="24"/>
      <c r="R460" s="73"/>
      <c r="S460" s="73"/>
      <c r="T460" s="73"/>
      <c r="U460" s="73"/>
      <c r="V460" s="24"/>
      <c r="W460" s="73"/>
      <c r="X460" s="73"/>
      <c r="Y460" s="73"/>
      <c r="Z460" s="73"/>
      <c r="AA460" s="24"/>
      <c r="AB460" s="73"/>
      <c r="AC460" s="73"/>
      <c r="AD460" s="73"/>
      <c r="AE460" s="73"/>
      <c r="AF460" s="63" t="s">
        <v>147</v>
      </c>
      <c r="AG460" s="186" t="s">
        <v>147</v>
      </c>
      <c r="AH460" s="186" t="s">
        <v>147</v>
      </c>
      <c r="AI460" s="186" t="s">
        <v>147</v>
      </c>
      <c r="AJ460" s="186" t="s">
        <v>147</v>
      </c>
      <c r="AK460" s="63" t="s">
        <v>147</v>
      </c>
      <c r="AL460" s="186" t="s">
        <v>147</v>
      </c>
      <c r="AM460" s="186" t="s">
        <v>147</v>
      </c>
      <c r="AN460" s="186" t="s">
        <v>147</v>
      </c>
      <c r="AO460" s="186" t="s">
        <v>147</v>
      </c>
      <c r="AP460" s="63" t="s">
        <v>147</v>
      </c>
      <c r="AQ460" s="186" t="s">
        <v>147</v>
      </c>
      <c r="AR460" s="186" t="s">
        <v>147</v>
      </c>
      <c r="AS460" s="186" t="s">
        <v>147</v>
      </c>
      <c r="AT460" s="186" t="s">
        <v>147</v>
      </c>
      <c r="AU460" s="178">
        <v>-11</v>
      </c>
      <c r="AV460" s="186" t="s">
        <v>147</v>
      </c>
      <c r="AW460" s="186" t="s">
        <v>147</v>
      </c>
      <c r="AX460" s="186" t="s">
        <v>147</v>
      </c>
      <c r="AY460" s="186" t="s">
        <v>147</v>
      </c>
      <c r="AZ460" s="63" t="s">
        <v>147</v>
      </c>
      <c r="BA460" s="228" t="s">
        <v>44</v>
      </c>
      <c r="BB460" s="228" t="s">
        <v>44</v>
      </c>
      <c r="BC460" s="228" t="s">
        <v>44</v>
      </c>
      <c r="BD460" s="228" t="s">
        <v>44</v>
      </c>
      <c r="BE460" s="37">
        <v>17</v>
      </c>
    </row>
    <row r="461" spans="1:57" ht="8.4" customHeight="1">
      <c r="A461" s="71"/>
      <c r="B461" s="24"/>
      <c r="C461" s="73"/>
      <c r="D461" s="73"/>
      <c r="E461" s="73"/>
      <c r="F461" s="73"/>
      <c r="G461" s="24"/>
      <c r="H461" s="73"/>
      <c r="I461" s="73"/>
      <c r="J461" s="73"/>
      <c r="K461" s="73"/>
      <c r="L461" s="24"/>
      <c r="M461" s="73"/>
      <c r="N461" s="73"/>
      <c r="O461" s="73"/>
      <c r="P461" s="73"/>
      <c r="Q461" s="24"/>
      <c r="R461" s="73"/>
      <c r="S461" s="73"/>
      <c r="T461" s="73"/>
      <c r="U461" s="73"/>
      <c r="V461" s="24"/>
      <c r="W461" s="73"/>
      <c r="X461" s="73"/>
      <c r="Y461" s="73"/>
      <c r="Z461" s="73"/>
      <c r="AA461" s="24"/>
      <c r="AB461" s="73"/>
      <c r="AC461" s="73"/>
      <c r="AD461" s="73"/>
      <c r="AE461" s="73"/>
      <c r="AF461" s="24"/>
      <c r="AG461" s="73"/>
      <c r="AH461" s="73"/>
      <c r="AI461" s="73"/>
      <c r="AJ461" s="73"/>
      <c r="AK461" s="24"/>
      <c r="AL461" s="73"/>
      <c r="AM461" s="73"/>
      <c r="AN461" s="73"/>
      <c r="AO461" s="73"/>
      <c r="AP461" s="24"/>
      <c r="AQ461" s="73"/>
      <c r="AR461" s="73"/>
      <c r="AS461" s="73"/>
      <c r="AT461" s="73"/>
      <c r="AU461" s="24"/>
      <c r="AV461" s="73"/>
      <c r="AW461" s="73"/>
      <c r="AX461" s="73"/>
      <c r="AY461" s="73"/>
      <c r="AZ461" s="24"/>
      <c r="BA461" s="73"/>
      <c r="BB461" s="73"/>
      <c r="BC461" s="73"/>
      <c r="BD461" s="73"/>
      <c r="BE461" s="24"/>
    </row>
    <row r="462" spans="1:57" s="36" customFormat="1">
      <c r="A462" s="69" t="s">
        <v>275</v>
      </c>
      <c r="B462" s="37">
        <v>55.999000000000002</v>
      </c>
      <c r="C462" s="70">
        <v>26.847999999999999</v>
      </c>
      <c r="D462" s="70">
        <v>42.551000000000002</v>
      </c>
      <c r="E462" s="70">
        <v>52.412999999999997</v>
      </c>
      <c r="F462" s="70">
        <f>G462-E462-D462-C462</f>
        <v>55.335999999999999</v>
      </c>
      <c r="G462" s="37">
        <v>177.148</v>
      </c>
      <c r="H462" s="70">
        <v>65.95</v>
      </c>
      <c r="I462" s="70">
        <v>59.054000000000002</v>
      </c>
      <c r="J462" s="70">
        <v>60.661000000000001</v>
      </c>
      <c r="K462" s="70">
        <f>L462-J462-I462-H462</f>
        <v>62.552000000000007</v>
      </c>
      <c r="L462" s="37">
        <v>248.21700000000001</v>
      </c>
      <c r="M462" s="70">
        <v>58.691000000000003</v>
      </c>
      <c r="N462" s="70">
        <v>7.2850000000000001</v>
      </c>
      <c r="O462" s="70">
        <v>71.742000000000004</v>
      </c>
      <c r="P462" s="70">
        <f>Q462-O462-N462-M462</f>
        <v>40.600999999999985</v>
      </c>
      <c r="Q462" s="37">
        <v>178.31899999999999</v>
      </c>
      <c r="R462" s="70">
        <v>61.37</v>
      </c>
      <c r="S462" s="70">
        <v>65.313000000000002</v>
      </c>
      <c r="T462" s="70">
        <v>63.363999999999997</v>
      </c>
      <c r="U462" s="70">
        <v>106</v>
      </c>
      <c r="V462" s="37">
        <v>294.86799999999999</v>
      </c>
      <c r="W462" s="70">
        <v>51.604999999999997</v>
      </c>
      <c r="X462" s="70">
        <v>74.488</v>
      </c>
      <c r="Y462" s="70">
        <v>53.99</v>
      </c>
      <c r="Z462" s="70">
        <f>AA462-Y462-X462-W462</f>
        <v>72.665999999999997</v>
      </c>
      <c r="AA462" s="37">
        <v>252.749</v>
      </c>
      <c r="AB462" s="70">
        <v>67.429000000000002</v>
      </c>
      <c r="AC462" s="70">
        <v>67.584000000000003</v>
      </c>
      <c r="AD462" s="70">
        <v>72.408000000000001</v>
      </c>
      <c r="AE462" s="70">
        <f>AF462-AD462-AC462-AB462</f>
        <v>59.578999999999979</v>
      </c>
      <c r="AF462" s="37">
        <v>267</v>
      </c>
      <c r="AG462" s="70">
        <v>73</v>
      </c>
      <c r="AH462" s="70">
        <v>67</v>
      </c>
      <c r="AI462" s="70">
        <v>76</v>
      </c>
      <c r="AJ462" s="70">
        <v>57</v>
      </c>
      <c r="AK462" s="37">
        <v>273</v>
      </c>
      <c r="AL462" s="70">
        <v>59</v>
      </c>
      <c r="AM462" s="70">
        <v>70</v>
      </c>
      <c r="AN462" s="70">
        <v>74</v>
      </c>
      <c r="AO462" s="70">
        <v>47</v>
      </c>
      <c r="AP462" s="37">
        <v>250</v>
      </c>
      <c r="AQ462" s="70">
        <v>57</v>
      </c>
      <c r="AR462" s="70">
        <v>77</v>
      </c>
      <c r="AS462" s="70">
        <v>62</v>
      </c>
      <c r="AT462" s="70">
        <v>68</v>
      </c>
      <c r="AU462" s="37">
        <v>264</v>
      </c>
      <c r="AV462" s="70">
        <v>52</v>
      </c>
      <c r="AW462" s="70">
        <v>49</v>
      </c>
      <c r="AX462" s="70">
        <v>35</v>
      </c>
      <c r="AY462" s="70">
        <v>27</v>
      </c>
      <c r="AZ462" s="37">
        <v>163</v>
      </c>
      <c r="BA462" s="151">
        <v>-1</v>
      </c>
      <c r="BB462" s="151">
        <v>-17</v>
      </c>
      <c r="BC462" s="70">
        <v>1</v>
      </c>
      <c r="BD462" s="151">
        <v>-1139</v>
      </c>
      <c r="BE462" s="178">
        <v>-1156</v>
      </c>
    </row>
    <row r="463" spans="1:57">
      <c r="A463" s="71" t="s">
        <v>7</v>
      </c>
      <c r="B463" s="24"/>
      <c r="C463" s="72"/>
      <c r="D463" s="72">
        <f>D462/C462-1</f>
        <v>0.58488528009535168</v>
      </c>
      <c r="E463" s="72">
        <f>E462/D462-1</f>
        <v>0.2317689361002091</v>
      </c>
      <c r="F463" s="72">
        <f>F462/E462-1</f>
        <v>5.576860702497477E-2</v>
      </c>
      <c r="G463" s="24"/>
      <c r="H463" s="72">
        <f>H462/F462-1</f>
        <v>0.19181003325140966</v>
      </c>
      <c r="I463" s="72">
        <f>I462/H462-1</f>
        <v>-0.10456406368460958</v>
      </c>
      <c r="J463" s="72">
        <f>J462/I462-1</f>
        <v>2.7212381887763648E-2</v>
      </c>
      <c r="K463" s="72">
        <f>K462/J462-1</f>
        <v>3.1173241456619705E-2</v>
      </c>
      <c r="L463" s="24"/>
      <c r="M463" s="72">
        <f>M462/K462-1</f>
        <v>-6.172464509528075E-2</v>
      </c>
      <c r="N463" s="72">
        <f>N462/M462-1</f>
        <v>-0.87587534715714499</v>
      </c>
      <c r="O463" s="72">
        <f>O462/N462-1</f>
        <v>8.847906657515443</v>
      </c>
      <c r="P463" s="72">
        <f>P462/O462-1</f>
        <v>-0.43406930389451115</v>
      </c>
      <c r="Q463" s="24"/>
      <c r="R463" s="72">
        <f>R462/P462-1</f>
        <v>0.51153912465210261</v>
      </c>
      <c r="S463" s="72">
        <f>S462/R462-1</f>
        <v>6.4249633371354253E-2</v>
      </c>
      <c r="T463" s="72">
        <f>T462/S462-1</f>
        <v>-2.9840919878125427E-2</v>
      </c>
      <c r="U463" s="72">
        <f>U462/T462-1</f>
        <v>0.67287418723565429</v>
      </c>
      <c r="V463" s="24"/>
      <c r="W463" s="72">
        <f>W462/U462-1</f>
        <v>-0.51316037735849052</v>
      </c>
      <c r="X463" s="72">
        <f>X462/W462-1</f>
        <v>0.44342602461001857</v>
      </c>
      <c r="Y463" s="72">
        <f>Y462/X462-1</f>
        <v>-0.27518526474062932</v>
      </c>
      <c r="Z463" s="72">
        <v>0.34591591035376901</v>
      </c>
      <c r="AA463" s="24"/>
      <c r="AB463" s="72">
        <f>AB462/Z462-1</f>
        <v>-7.2069468527234171E-2</v>
      </c>
      <c r="AC463" s="72">
        <f>AC462/AB462-1</f>
        <v>2.2987142030876928E-3</v>
      </c>
      <c r="AD463" s="72">
        <f>AD462/AC462-1</f>
        <v>7.1377840909090828E-2</v>
      </c>
      <c r="AE463" s="72">
        <f>AE462/AD462-1</f>
        <v>-0.17717655507678742</v>
      </c>
      <c r="AF463" s="24"/>
      <c r="AG463" s="72">
        <v>0.22526393527920963</v>
      </c>
      <c r="AH463" s="72">
        <v>-8.2191780821917804E-2</v>
      </c>
      <c r="AI463" s="72">
        <v>0.13432835820895517</v>
      </c>
      <c r="AJ463" s="72">
        <v>-0.25</v>
      </c>
      <c r="AK463" s="24"/>
      <c r="AL463" s="72">
        <v>3.5087719298245723E-2</v>
      </c>
      <c r="AM463" s="72">
        <v>0.18644067796610164</v>
      </c>
      <c r="AN463" s="72">
        <v>5.7142857142857162E-2</v>
      </c>
      <c r="AO463" s="72">
        <v>-0.36486486486486491</v>
      </c>
      <c r="AP463" s="24"/>
      <c r="AQ463" s="72">
        <v>0.2127659574468086</v>
      </c>
      <c r="AR463" s="72">
        <v>0.35087719298245612</v>
      </c>
      <c r="AS463" s="72">
        <v>-0.19480519480519476</v>
      </c>
      <c r="AT463" s="72">
        <v>9.6774193548387011E-2</v>
      </c>
      <c r="AU463" s="24"/>
      <c r="AV463" s="72">
        <v>-0.23529411764705888</v>
      </c>
      <c r="AW463" s="72">
        <v>-5.7692307692307709E-2</v>
      </c>
      <c r="AX463" s="72">
        <v>-0.2857142857142857</v>
      </c>
      <c r="AY463" s="72">
        <v>-0.22857142857142854</v>
      </c>
      <c r="AZ463" s="24"/>
      <c r="BA463" s="85" t="s">
        <v>43</v>
      </c>
      <c r="BB463" s="72">
        <v>16</v>
      </c>
      <c r="BC463" s="85" t="s">
        <v>43</v>
      </c>
      <c r="BD463" s="85" t="s">
        <v>43</v>
      </c>
      <c r="BE463" s="24"/>
    </row>
    <row r="464" spans="1:57">
      <c r="A464" s="71" t="s">
        <v>8</v>
      </c>
      <c r="B464" s="24"/>
      <c r="C464" s="73"/>
      <c r="D464" s="73"/>
      <c r="E464" s="73"/>
      <c r="F464" s="73"/>
      <c r="G464" s="24">
        <f t="shared" ref="G464:N464" si="322">G462/B462-1</f>
        <v>2.1634136323862925</v>
      </c>
      <c r="H464" s="73">
        <f t="shared" si="322"/>
        <v>1.4564213349225272</v>
      </c>
      <c r="I464" s="73">
        <f t="shared" si="322"/>
        <v>0.3878404737843999</v>
      </c>
      <c r="J464" s="73">
        <f t="shared" si="322"/>
        <v>0.15736553908381512</v>
      </c>
      <c r="K464" s="73">
        <f t="shared" si="322"/>
        <v>0.13040335405522629</v>
      </c>
      <c r="L464" s="24">
        <f t="shared" si="322"/>
        <v>0.4011843204552128</v>
      </c>
      <c r="M464" s="73">
        <f t="shared" si="322"/>
        <v>-0.11006823351023498</v>
      </c>
      <c r="N464" s="73">
        <f t="shared" si="322"/>
        <v>-0.8766383310190673</v>
      </c>
      <c r="O464" s="73">
        <f t="shared" ref="O464:Y464" si="323">O462/J462-1</f>
        <v>0.18267090882115378</v>
      </c>
      <c r="P464" s="73">
        <f t="shared" si="323"/>
        <v>-0.35092403120603688</v>
      </c>
      <c r="Q464" s="24">
        <f t="shared" si="323"/>
        <v>-0.28160037386641534</v>
      </c>
      <c r="R464" s="73">
        <f t="shared" si="323"/>
        <v>4.5645840077694899E-2</v>
      </c>
      <c r="S464" s="73">
        <f t="shared" si="323"/>
        <v>7.9654083733699377</v>
      </c>
      <c r="T464" s="73">
        <f t="shared" si="323"/>
        <v>-0.11677957124139282</v>
      </c>
      <c r="U464" s="73">
        <f t="shared" si="323"/>
        <v>1.6107731336666595</v>
      </c>
      <c r="V464" s="24">
        <f t="shared" si="323"/>
        <v>0.65359832659447403</v>
      </c>
      <c r="W464" s="73">
        <f t="shared" si="323"/>
        <v>-0.15911683232849927</v>
      </c>
      <c r="X464" s="73">
        <f t="shared" si="323"/>
        <v>0.14047739347449961</v>
      </c>
      <c r="Y464" s="73">
        <f t="shared" si="323"/>
        <v>-0.14793889274666994</v>
      </c>
      <c r="Z464" s="73">
        <v>-0.30676104978964125</v>
      </c>
      <c r="AA464" s="24">
        <v>-0.14284018611717786</v>
      </c>
      <c r="AB464" s="73">
        <f t="shared" ref="AB464:AE464" si="324">AB462/W462-1</f>
        <v>0.30663695378354827</v>
      </c>
      <c r="AC464" s="73">
        <f t="shared" si="324"/>
        <v>-9.2686070239501595E-2</v>
      </c>
      <c r="AD464" s="73">
        <f t="shared" si="324"/>
        <v>0.34113724763845155</v>
      </c>
      <c r="AE464" s="73">
        <f t="shared" si="324"/>
        <v>-0.18009798255029885</v>
      </c>
      <c r="AF464" s="24">
        <v>5.6384001519293792E-2</v>
      </c>
      <c r="AG464" s="73">
        <v>8.2620237583235667E-2</v>
      </c>
      <c r="AH464" s="73">
        <v>-8.6410984848485084E-3</v>
      </c>
      <c r="AI464" s="73">
        <v>4.9607778146061099E-2</v>
      </c>
      <c r="AJ464" s="73">
        <v>-4.3287064234041828E-2</v>
      </c>
      <c r="AK464" s="24">
        <v>2.2471910112359605E-2</v>
      </c>
      <c r="AL464" s="73">
        <v>-0.19178082191780821</v>
      </c>
      <c r="AM464" s="73">
        <v>4.4776119402984982E-2</v>
      </c>
      <c r="AN464" s="73">
        <v>-2.6315789473684181E-2</v>
      </c>
      <c r="AO464" s="73">
        <v>-0.17543859649122806</v>
      </c>
      <c r="AP464" s="24">
        <v>-8.4249084249084283E-2</v>
      </c>
      <c r="AQ464" s="73">
        <v>-3.3898305084745783E-2</v>
      </c>
      <c r="AR464" s="73">
        <v>0.10000000000000009</v>
      </c>
      <c r="AS464" s="73">
        <v>-0.16216216216216217</v>
      </c>
      <c r="AT464" s="73">
        <v>0.44680851063829796</v>
      </c>
      <c r="AU464" s="24">
        <v>5.600000000000005E-2</v>
      </c>
      <c r="AV464" s="73">
        <v>-8.7719298245614086E-2</v>
      </c>
      <c r="AW464" s="73">
        <v>-0.36363636363636365</v>
      </c>
      <c r="AX464" s="73">
        <v>-0.43548387096774188</v>
      </c>
      <c r="AY464" s="73">
        <v>-0.60294117647058831</v>
      </c>
      <c r="AZ464" s="24">
        <v>-0.38257575757575757</v>
      </c>
      <c r="BA464" s="85" t="s">
        <v>43</v>
      </c>
      <c r="BB464" s="85" t="s">
        <v>43</v>
      </c>
      <c r="BC464" s="73">
        <v>-0.97142857142857142</v>
      </c>
      <c r="BD464" s="85" t="s">
        <v>43</v>
      </c>
      <c r="BE464" s="92" t="s">
        <v>43</v>
      </c>
    </row>
    <row r="465" spans="1:57">
      <c r="A465" s="69" t="s">
        <v>93</v>
      </c>
      <c r="B465" s="37">
        <v>153</v>
      </c>
      <c r="C465" s="70"/>
      <c r="D465" s="70"/>
      <c r="E465" s="70"/>
      <c r="F465" s="70"/>
      <c r="G465" s="37">
        <v>178</v>
      </c>
      <c r="H465" s="70"/>
      <c r="I465" s="70"/>
      <c r="J465" s="70"/>
      <c r="K465" s="70"/>
      <c r="L465" s="37">
        <v>170</v>
      </c>
      <c r="M465" s="80" t="s">
        <v>52</v>
      </c>
      <c r="N465" s="80" t="s">
        <v>52</v>
      </c>
      <c r="O465" s="80" t="s">
        <v>52</v>
      </c>
      <c r="P465" s="80" t="s">
        <v>52</v>
      </c>
      <c r="Q465" s="37">
        <v>172</v>
      </c>
      <c r="R465" s="80" t="s">
        <v>52</v>
      </c>
      <c r="S465" s="80" t="s">
        <v>52</v>
      </c>
      <c r="T465" s="80" t="s">
        <v>52</v>
      </c>
      <c r="U465" s="80" t="s">
        <v>52</v>
      </c>
      <c r="V465" s="37">
        <v>146</v>
      </c>
      <c r="W465" s="80" t="s">
        <v>52</v>
      </c>
      <c r="X465" s="80" t="s">
        <v>52</v>
      </c>
      <c r="Y465" s="80" t="s">
        <v>52</v>
      </c>
      <c r="Z465" s="80" t="s">
        <v>52</v>
      </c>
      <c r="AA465" s="37">
        <v>154</v>
      </c>
      <c r="AB465" s="80" t="s">
        <v>52</v>
      </c>
      <c r="AC465" s="80" t="s">
        <v>52</v>
      </c>
      <c r="AD465" s="80" t="s">
        <v>52</v>
      </c>
      <c r="AE465" s="80" t="s">
        <v>52</v>
      </c>
      <c r="AF465" s="37">
        <v>161</v>
      </c>
      <c r="AG465" s="80" t="s">
        <v>52</v>
      </c>
      <c r="AH465" s="80" t="s">
        <v>52</v>
      </c>
      <c r="AI465" s="80" t="s">
        <v>52</v>
      </c>
      <c r="AJ465" s="80" t="s">
        <v>52</v>
      </c>
      <c r="AK465" s="37">
        <v>111</v>
      </c>
      <c r="AL465" s="80" t="s">
        <v>52</v>
      </c>
      <c r="AM465" s="80" t="s">
        <v>52</v>
      </c>
      <c r="AN465" s="80" t="s">
        <v>52</v>
      </c>
      <c r="AO465" s="80" t="s">
        <v>52</v>
      </c>
      <c r="AP465" s="37">
        <v>90</v>
      </c>
      <c r="AQ465" s="70">
        <v>19</v>
      </c>
      <c r="AR465" s="70">
        <v>12</v>
      </c>
      <c r="AS465" s="70">
        <v>26</v>
      </c>
      <c r="AT465" s="70">
        <v>1</v>
      </c>
      <c r="AU465" s="37">
        <v>58</v>
      </c>
      <c r="AV465" s="70">
        <v>27</v>
      </c>
      <c r="AW465" s="70">
        <v>32</v>
      </c>
      <c r="AX465" s="151">
        <v>-1</v>
      </c>
      <c r="AY465" s="70">
        <v>13</v>
      </c>
      <c r="AZ465" s="37">
        <v>71</v>
      </c>
      <c r="BA465" s="151">
        <v>-3</v>
      </c>
      <c r="BB465" s="151">
        <v>-7</v>
      </c>
      <c r="BC465" s="151">
        <v>3</v>
      </c>
      <c r="BD465" s="151">
        <v>-4</v>
      </c>
      <c r="BE465" s="178">
        <v>-11</v>
      </c>
    </row>
    <row r="466" spans="1:57">
      <c r="A466" s="71" t="s">
        <v>7</v>
      </c>
      <c r="B466" s="24"/>
      <c r="C466" s="72"/>
      <c r="D466" s="72"/>
      <c r="E466" s="72"/>
      <c r="F466" s="72"/>
      <c r="G466" s="24"/>
      <c r="H466" s="72"/>
      <c r="I466" s="72"/>
      <c r="J466" s="72"/>
      <c r="K466" s="72"/>
      <c r="L466" s="24"/>
      <c r="M466" s="72"/>
      <c r="N466" s="72"/>
      <c r="O466" s="72"/>
      <c r="P466" s="72"/>
      <c r="Q466" s="24"/>
      <c r="R466" s="72"/>
      <c r="S466" s="72"/>
      <c r="T466" s="72"/>
      <c r="U466" s="72"/>
      <c r="V466" s="24"/>
      <c r="W466" s="72"/>
      <c r="X466" s="72"/>
      <c r="Y466" s="72"/>
      <c r="Z466" s="72"/>
      <c r="AA466" s="24"/>
      <c r="AB466" s="72"/>
      <c r="AC466" s="72"/>
      <c r="AD466" s="72"/>
      <c r="AE466" s="72"/>
      <c r="AF466" s="24"/>
      <c r="AG466" s="72"/>
      <c r="AH466" s="72"/>
      <c r="AI466" s="72"/>
      <c r="AJ466" s="72"/>
      <c r="AK466" s="24"/>
      <c r="AL466" s="72"/>
      <c r="AM466" s="72"/>
      <c r="AN466" s="72"/>
      <c r="AO466" s="72"/>
      <c r="AP466" s="24"/>
      <c r="AQ466" s="72"/>
      <c r="AR466" s="72">
        <v>-0.36842105263157898</v>
      </c>
      <c r="AS466" s="72">
        <v>1.1666666666666665</v>
      </c>
      <c r="AT466" s="72">
        <v>-0.96153846153846156</v>
      </c>
      <c r="AU466" s="24"/>
      <c r="AV466" s="72">
        <v>26</v>
      </c>
      <c r="AW466" s="72">
        <v>0.18518518518518512</v>
      </c>
      <c r="AX466" s="85" t="s">
        <v>43</v>
      </c>
      <c r="AY466" s="85" t="s">
        <v>43</v>
      </c>
      <c r="AZ466" s="24"/>
      <c r="BA466" s="83" t="s">
        <v>43</v>
      </c>
      <c r="BB466" s="72">
        <v>1.3333333333333335</v>
      </c>
      <c r="BC466" s="85" t="s">
        <v>43</v>
      </c>
      <c r="BD466" s="85" t="s">
        <v>43</v>
      </c>
      <c r="BE466" s="24"/>
    </row>
    <row r="467" spans="1:57">
      <c r="A467" s="71" t="s">
        <v>8</v>
      </c>
      <c r="B467" s="24"/>
      <c r="C467" s="73"/>
      <c r="D467" s="73"/>
      <c r="E467" s="73"/>
      <c r="F467" s="73"/>
      <c r="G467" s="24">
        <f t="shared" ref="G467" si="325">G465/B465-1</f>
        <v>0.1633986928104576</v>
      </c>
      <c r="H467" s="73"/>
      <c r="I467" s="73"/>
      <c r="J467" s="73"/>
      <c r="K467" s="73"/>
      <c r="L467" s="24">
        <f t="shared" ref="L467:Q467" si="326">L465/G465-1</f>
        <v>-4.49438202247191E-2</v>
      </c>
      <c r="M467" s="73"/>
      <c r="N467" s="73"/>
      <c r="O467" s="73"/>
      <c r="P467" s="73"/>
      <c r="Q467" s="24">
        <f t="shared" si="326"/>
        <v>1.1764705882352899E-2</v>
      </c>
      <c r="R467" s="73"/>
      <c r="S467" s="73"/>
      <c r="T467" s="73"/>
      <c r="U467" s="73"/>
      <c r="V467" s="24">
        <f t="shared" ref="V467" si="327">V465/Q465-1</f>
        <v>-0.15116279069767447</v>
      </c>
      <c r="W467" s="73"/>
      <c r="X467" s="73"/>
      <c r="Y467" s="73"/>
      <c r="Z467" s="73"/>
      <c r="AA467" s="24">
        <f t="shared" ref="AA467" si="328">AA465/V465-1</f>
        <v>5.4794520547945202E-2</v>
      </c>
      <c r="AB467" s="73"/>
      <c r="AC467" s="73"/>
      <c r="AD467" s="73"/>
      <c r="AE467" s="73"/>
      <c r="AF467" s="24">
        <v>4.5454545454545414E-2</v>
      </c>
      <c r="AG467" s="73"/>
      <c r="AH467" s="73"/>
      <c r="AI467" s="73"/>
      <c r="AJ467" s="73"/>
      <c r="AK467" s="24">
        <v>-0.31055900621118016</v>
      </c>
      <c r="AL467" s="73"/>
      <c r="AM467" s="73"/>
      <c r="AN467" s="73"/>
      <c r="AO467" s="73"/>
      <c r="AP467" s="24">
        <v>-0.18918918918918914</v>
      </c>
      <c r="AQ467" s="73"/>
      <c r="AR467" s="73"/>
      <c r="AS467" s="73"/>
      <c r="AT467" s="73"/>
      <c r="AU467" s="24">
        <v>-0.35555555555555551</v>
      </c>
      <c r="AV467" s="73">
        <v>0.42105263157894735</v>
      </c>
      <c r="AW467" s="73">
        <v>1.6666666666666665</v>
      </c>
      <c r="AX467" s="85" t="s">
        <v>43</v>
      </c>
      <c r="AY467" s="73">
        <v>12</v>
      </c>
      <c r="AZ467" s="24">
        <v>0.22413793103448265</v>
      </c>
      <c r="BA467" s="83" t="s">
        <v>43</v>
      </c>
      <c r="BB467" s="85" t="s">
        <v>43</v>
      </c>
      <c r="BC467" s="85" t="s">
        <v>43</v>
      </c>
      <c r="BD467" s="85" t="s">
        <v>43</v>
      </c>
      <c r="BE467" s="92" t="s">
        <v>43</v>
      </c>
    </row>
    <row r="468" spans="1:57" hidden="1">
      <c r="A468" s="192" t="s">
        <v>170</v>
      </c>
      <c r="B468" s="178">
        <f>55.999-166.523+13.392</f>
        <v>-97.132000000000005</v>
      </c>
      <c r="C468" s="80" t="s">
        <v>52</v>
      </c>
      <c r="D468" s="80" t="s">
        <v>52</v>
      </c>
      <c r="E468" s="80" t="s">
        <v>52</v>
      </c>
      <c r="F468" s="80" t="s">
        <v>52</v>
      </c>
      <c r="G468" s="178">
        <f>177.148-229.65+51.805</f>
        <v>-0.69700000000000983</v>
      </c>
      <c r="H468" s="80" t="s">
        <v>52</v>
      </c>
      <c r="I468" s="80" t="s">
        <v>52</v>
      </c>
      <c r="J468" s="80" t="s">
        <v>52</v>
      </c>
      <c r="K468" s="80" t="s">
        <v>52</v>
      </c>
      <c r="L468" s="37">
        <f>248.217-177.9+8.347</f>
        <v>78.664000000000001</v>
      </c>
      <c r="M468" s="80" t="s">
        <v>52</v>
      </c>
      <c r="N468" s="80" t="s">
        <v>52</v>
      </c>
      <c r="O468" s="80" t="s">
        <v>52</v>
      </c>
      <c r="P468" s="80" t="s">
        <v>52</v>
      </c>
      <c r="Q468" s="37">
        <f>178.319-181.584+9.313</f>
        <v>6.0479999999999858</v>
      </c>
      <c r="R468" s="80" t="s">
        <v>52</v>
      </c>
      <c r="S468" s="80" t="s">
        <v>52</v>
      </c>
      <c r="T468" s="80" t="s">
        <v>52</v>
      </c>
      <c r="U468" s="80" t="s">
        <v>52</v>
      </c>
      <c r="V468" s="37">
        <f>294.868-168.991+23.163</f>
        <v>149.04</v>
      </c>
      <c r="W468" s="80" t="s">
        <v>52</v>
      </c>
      <c r="X468" s="80" t="s">
        <v>52</v>
      </c>
      <c r="Y468" s="80" t="s">
        <v>52</v>
      </c>
      <c r="Z468" s="80" t="s">
        <v>52</v>
      </c>
      <c r="AA468" s="37">
        <f>252.749-155.431+1.859</f>
        <v>99.176999999999978</v>
      </c>
      <c r="AB468" s="80" t="s">
        <v>52</v>
      </c>
      <c r="AC468" s="80" t="s">
        <v>52</v>
      </c>
      <c r="AD468" s="80" t="s">
        <v>52</v>
      </c>
      <c r="AE468" s="80" t="s">
        <v>52</v>
      </c>
      <c r="AF468" s="37">
        <v>106</v>
      </c>
      <c r="AG468" s="70">
        <v>55</v>
      </c>
      <c r="AH468" s="70">
        <v>23</v>
      </c>
      <c r="AI468" s="70">
        <v>50</v>
      </c>
      <c r="AJ468" s="70">
        <v>34</v>
      </c>
      <c r="AK468" s="37">
        <v>162</v>
      </c>
      <c r="AL468" s="70">
        <v>60</v>
      </c>
      <c r="AM468" s="70">
        <v>15</v>
      </c>
      <c r="AN468" s="70">
        <v>80</v>
      </c>
      <c r="AO468" s="70">
        <v>5</v>
      </c>
      <c r="AP468" s="37">
        <v>160</v>
      </c>
      <c r="AQ468" s="70">
        <v>38</v>
      </c>
      <c r="AR468" s="70">
        <v>65</v>
      </c>
      <c r="AS468" s="147">
        <v>36</v>
      </c>
      <c r="AT468" s="70">
        <v>67</v>
      </c>
      <c r="AU468" s="37">
        <v>206</v>
      </c>
      <c r="AV468" s="70">
        <v>25</v>
      </c>
      <c r="AW468" s="70">
        <v>16</v>
      </c>
      <c r="AX468" s="70">
        <v>36</v>
      </c>
      <c r="AY468" s="70">
        <v>15</v>
      </c>
      <c r="AZ468" s="37">
        <v>92</v>
      </c>
      <c r="BA468" s="70">
        <v>2</v>
      </c>
      <c r="BB468" s="70">
        <v>16</v>
      </c>
      <c r="BC468" s="70">
        <v>36</v>
      </c>
      <c r="BD468" s="70">
        <v>38</v>
      </c>
      <c r="BE468" s="37">
        <v>92</v>
      </c>
    </row>
    <row r="469" spans="1:57" hidden="1">
      <c r="A469" s="71" t="s">
        <v>7</v>
      </c>
      <c r="B469" s="24"/>
      <c r="C469" s="73"/>
      <c r="D469" s="73"/>
      <c r="E469" s="73"/>
      <c r="F469" s="73"/>
      <c r="G469" s="24"/>
      <c r="H469" s="73"/>
      <c r="I469" s="73"/>
      <c r="J469" s="73"/>
      <c r="K469" s="73"/>
      <c r="L469" s="24"/>
      <c r="M469" s="73"/>
      <c r="N469" s="73"/>
      <c r="O469" s="73"/>
      <c r="P469" s="73"/>
      <c r="Q469" s="24"/>
      <c r="R469" s="73"/>
      <c r="S469" s="73"/>
      <c r="T469" s="73"/>
      <c r="U469" s="73"/>
      <c r="V469" s="24"/>
      <c r="W469" s="73"/>
      <c r="X469" s="73"/>
      <c r="Y469" s="73"/>
      <c r="Z469" s="73"/>
      <c r="AA469" s="24"/>
      <c r="AB469" s="73"/>
      <c r="AC469" s="73"/>
      <c r="AD469" s="73"/>
      <c r="AE469" s="73"/>
      <c r="AF469" s="24"/>
      <c r="AG469" s="72"/>
      <c r="AH469" s="72">
        <v>-0.58181818181818179</v>
      </c>
      <c r="AI469" s="72">
        <v>1.1739130434782608</v>
      </c>
      <c r="AJ469" s="72">
        <v>-0.31999999999999995</v>
      </c>
      <c r="AK469" s="24"/>
      <c r="AL469" s="72">
        <v>0.76470588235294112</v>
      </c>
      <c r="AM469" s="72">
        <v>-0.75</v>
      </c>
      <c r="AN469" s="72">
        <v>4.333333333333333</v>
      </c>
      <c r="AO469" s="72">
        <v>-0.9375</v>
      </c>
      <c r="AP469" s="24"/>
      <c r="AQ469" s="72">
        <v>6.6</v>
      </c>
      <c r="AR469" s="72">
        <v>0.71052631578947367</v>
      </c>
      <c r="AS469" s="72">
        <v>-0.44615384615384612</v>
      </c>
      <c r="AT469" s="72">
        <v>0.86111111111111116</v>
      </c>
      <c r="AU469" s="24"/>
      <c r="AV469" s="72">
        <v>-0.62686567164179108</v>
      </c>
      <c r="AW469" s="72">
        <v>-0.36</v>
      </c>
      <c r="AX469" s="72">
        <v>1.25</v>
      </c>
      <c r="AY469" s="72">
        <v>-0.58333333333333326</v>
      </c>
      <c r="AZ469" s="24"/>
      <c r="BA469" s="72">
        <v>-0.8666666666666667</v>
      </c>
      <c r="BB469" s="72">
        <v>7</v>
      </c>
      <c r="BC469" s="72">
        <v>1.25</v>
      </c>
      <c r="BD469" s="72">
        <v>5.555555555555558E-2</v>
      </c>
      <c r="BE469" s="24"/>
    </row>
    <row r="470" spans="1:57" hidden="1">
      <c r="A470" s="71" t="s">
        <v>8</v>
      </c>
      <c r="B470" s="24"/>
      <c r="C470" s="73"/>
      <c r="D470" s="73"/>
      <c r="E470" s="73"/>
      <c r="F470" s="73"/>
      <c r="G470" s="24">
        <f t="shared" ref="G470" si="329">G468/B468-1</f>
        <v>-0.99282419799859978</v>
      </c>
      <c r="H470" s="73"/>
      <c r="I470" s="73"/>
      <c r="J470" s="73"/>
      <c r="K470" s="73"/>
      <c r="L470" s="92" t="s">
        <v>43</v>
      </c>
      <c r="M470" s="73"/>
      <c r="N470" s="73"/>
      <c r="O470" s="73"/>
      <c r="P470" s="73"/>
      <c r="Q470" s="24">
        <f t="shared" ref="Q470" si="330">Q468/L468-1</f>
        <v>-0.92311603783179108</v>
      </c>
      <c r="R470" s="73"/>
      <c r="S470" s="73"/>
      <c r="T470" s="73"/>
      <c r="U470" s="73"/>
      <c r="V470" s="24">
        <f t="shared" ref="V470" si="331">V468/Q468-1</f>
        <v>23.642857142857199</v>
      </c>
      <c r="W470" s="73"/>
      <c r="X470" s="73"/>
      <c r="Y470" s="73"/>
      <c r="Z470" s="73"/>
      <c r="AA470" s="24">
        <f t="shared" ref="AA470" si="332">AA468/V468-1</f>
        <v>-0.33456119162640918</v>
      </c>
      <c r="AB470" s="73"/>
      <c r="AC470" s="73"/>
      <c r="AD470" s="73"/>
      <c r="AE470" s="73"/>
      <c r="AF470" s="24">
        <v>6.8796192665638412E-2</v>
      </c>
      <c r="AG470" s="73"/>
      <c r="AH470" s="73"/>
      <c r="AI470" s="73"/>
      <c r="AJ470" s="73"/>
      <c r="AK470" s="24">
        <v>0.52830188679245293</v>
      </c>
      <c r="AL470" s="73">
        <v>9.0909090909090828E-2</v>
      </c>
      <c r="AM470" s="73">
        <v>-0.34782608695652173</v>
      </c>
      <c r="AN470" s="73">
        <v>0.60000000000000009</v>
      </c>
      <c r="AO470" s="73">
        <v>-0.8529411764705882</v>
      </c>
      <c r="AP470" s="24"/>
      <c r="AQ470" s="73">
        <v>-0.3666666666666667</v>
      </c>
      <c r="AR470" s="73">
        <v>3.333333333333333</v>
      </c>
      <c r="AS470" s="73">
        <v>-0.55000000000000004</v>
      </c>
      <c r="AT470" s="73">
        <v>12.4</v>
      </c>
      <c r="AU470" s="24">
        <v>0.28750000000000009</v>
      </c>
      <c r="AV470" s="73">
        <v>-0.34210526315789469</v>
      </c>
      <c r="AW470" s="73">
        <v>-0.75384615384615383</v>
      </c>
      <c r="AX470" s="73">
        <v>0</v>
      </c>
      <c r="AY470" s="73">
        <v>-0.77611940298507465</v>
      </c>
      <c r="AZ470" s="24">
        <v>-0.55339805825242716</v>
      </c>
      <c r="BA470" s="73">
        <v>-0.92</v>
      </c>
      <c r="BB470" s="73">
        <v>0</v>
      </c>
      <c r="BC470" s="73">
        <v>0</v>
      </c>
      <c r="BD470" s="73">
        <v>1.5333333333333332</v>
      </c>
      <c r="BE470" s="24">
        <v>0</v>
      </c>
    </row>
    <row r="471" spans="1:57" s="36" customFormat="1">
      <c r="A471" s="69" t="s">
        <v>171</v>
      </c>
      <c r="B471" s="178">
        <v>-117.61</v>
      </c>
      <c r="C471" s="186">
        <v>-65.766999999999996</v>
      </c>
      <c r="D471" s="186">
        <v>-99.322000000000003</v>
      </c>
      <c r="E471" s="186">
        <v>-82.126999999999995</v>
      </c>
      <c r="F471" s="186">
        <f>G471-E471-D471-C471</f>
        <v>-17.490000000000009</v>
      </c>
      <c r="G471" s="178">
        <v>-264.70600000000002</v>
      </c>
      <c r="H471" s="186">
        <v>-1.153</v>
      </c>
      <c r="I471" s="186">
        <v>-95.153999999999996</v>
      </c>
      <c r="J471" s="186">
        <v>-88.456999999999994</v>
      </c>
      <c r="K471" s="186">
        <f>L471-J471-I471-H471</f>
        <v>-37.690000000000019</v>
      </c>
      <c r="L471" s="178">
        <v>-222.45400000000001</v>
      </c>
      <c r="M471" s="186">
        <v>-8.2669999999999995</v>
      </c>
      <c r="N471" s="186">
        <v>-142.78399999999999</v>
      </c>
      <c r="O471" s="186">
        <v>-78.350999999999999</v>
      </c>
      <c r="P471" s="186">
        <f>Q471-O471-N471-M471</f>
        <v>-84.237000000000023</v>
      </c>
      <c r="Q471" s="178">
        <v>-313.63900000000001</v>
      </c>
      <c r="R471" s="186">
        <v>-73.378</v>
      </c>
      <c r="S471" s="186">
        <v>-88.364000000000004</v>
      </c>
      <c r="T471" s="186">
        <v>-75.885000000000005</v>
      </c>
      <c r="U471" s="186">
        <f>V471-T471-S471-R471</f>
        <v>8.0100000000000335</v>
      </c>
      <c r="V471" s="178">
        <v>-229.61699999999999</v>
      </c>
      <c r="W471" s="186">
        <v>-63.862000000000002</v>
      </c>
      <c r="X471" s="186">
        <v>-106.64400000000001</v>
      </c>
      <c r="Y471" s="186">
        <v>-118.672</v>
      </c>
      <c r="Z471" s="186">
        <f>AA471-Y471-X471-W471</f>
        <v>-21.139000000000003</v>
      </c>
      <c r="AA471" s="178">
        <v>-310.31700000000001</v>
      </c>
      <c r="AB471" s="186">
        <v>-60.701000000000001</v>
      </c>
      <c r="AC471" s="186">
        <v>-100.938</v>
      </c>
      <c r="AD471" s="186">
        <v>-136.084</v>
      </c>
      <c r="AE471" s="186">
        <f>AF471-AD471-AC471-AB471</f>
        <v>-82.971000000000032</v>
      </c>
      <c r="AF471" s="178">
        <v>-380.69400000000002</v>
      </c>
      <c r="AG471" s="186">
        <v>-34</v>
      </c>
      <c r="AH471" s="186">
        <v>-115</v>
      </c>
      <c r="AI471" s="186">
        <v>-86</v>
      </c>
      <c r="AJ471" s="186">
        <v>-87</v>
      </c>
      <c r="AK471" s="178">
        <v>-322</v>
      </c>
      <c r="AL471" s="186">
        <v>-3</v>
      </c>
      <c r="AM471" s="186">
        <v>-166</v>
      </c>
      <c r="AN471" s="186">
        <v>-75</v>
      </c>
      <c r="AO471" s="186">
        <v>-110</v>
      </c>
      <c r="AP471" s="178">
        <v>-354</v>
      </c>
      <c r="AQ471" s="186">
        <v>-71</v>
      </c>
      <c r="AR471" s="186">
        <v>-114</v>
      </c>
      <c r="AS471" s="186">
        <v>-142</v>
      </c>
      <c r="AT471" s="186">
        <v>395</v>
      </c>
      <c r="AU471" s="178">
        <v>68</v>
      </c>
      <c r="AV471" s="186">
        <v>19</v>
      </c>
      <c r="AW471" s="186">
        <v>-151</v>
      </c>
      <c r="AX471" s="186">
        <v>-123</v>
      </c>
      <c r="AY471" s="186">
        <v>11</v>
      </c>
      <c r="AZ471" s="178">
        <v>-244</v>
      </c>
      <c r="BA471" s="186">
        <v>1</v>
      </c>
      <c r="BB471" s="186">
        <v>-10</v>
      </c>
      <c r="BC471" s="186">
        <v>-2</v>
      </c>
      <c r="BD471" s="186">
        <v>-1137</v>
      </c>
      <c r="BE471" s="178">
        <v>-1148</v>
      </c>
    </row>
    <row r="472" spans="1:57">
      <c r="A472" s="71" t="s">
        <v>7</v>
      </c>
      <c r="B472" s="178"/>
      <c r="C472" s="72"/>
      <c r="D472" s="72">
        <f>D471/C471-1</f>
        <v>0.51021028783432443</v>
      </c>
      <c r="E472" s="72">
        <f>E471/D471-1</f>
        <v>-0.17312377922313293</v>
      </c>
      <c r="F472" s="72">
        <f>F471/E471-1</f>
        <v>-0.78703714978021833</v>
      </c>
      <c r="G472" s="24"/>
      <c r="H472" s="72">
        <f>H471/F471-1</f>
        <v>-0.93407661520869067</v>
      </c>
      <c r="I472" s="72">
        <f>I471/H471-1</f>
        <v>81.527320034692096</v>
      </c>
      <c r="J472" s="72">
        <f>J471/I471-1</f>
        <v>-7.0380646110515643E-2</v>
      </c>
      <c r="K472" s="72">
        <f>K471/J471-1</f>
        <v>-0.57391727053822739</v>
      </c>
      <c r="L472" s="24"/>
      <c r="M472" s="72">
        <f>M471/K471-1</f>
        <v>-0.78065799946935543</v>
      </c>
      <c r="N472" s="72">
        <f>N471/M471-1</f>
        <v>16.271561630579413</v>
      </c>
      <c r="O472" s="72">
        <f>O471/N471-1</f>
        <v>-0.45126204616763776</v>
      </c>
      <c r="P472" s="72">
        <f>P471/O471-1</f>
        <v>7.5123482788988394E-2</v>
      </c>
      <c r="Q472" s="24"/>
      <c r="R472" s="72">
        <f>R471/P471-1</f>
        <v>-0.12891009888766247</v>
      </c>
      <c r="S472" s="72">
        <f>S471/R471-1</f>
        <v>0.20423015072637574</v>
      </c>
      <c r="T472" s="72">
        <f>T471/S471-1</f>
        <v>-0.14122266986555609</v>
      </c>
      <c r="U472" s="85" t="s">
        <v>43</v>
      </c>
      <c r="V472" s="24"/>
      <c r="W472" s="85" t="s">
        <v>43</v>
      </c>
      <c r="X472" s="72">
        <f>X471/W471-1</f>
        <v>0.66991325044627481</v>
      </c>
      <c r="Y472" s="72">
        <f>Y471/X471-1</f>
        <v>0.11278646712426377</v>
      </c>
      <c r="Z472" s="72">
        <v>-0.821870365376837</v>
      </c>
      <c r="AA472" s="24"/>
      <c r="AB472" s="72">
        <f>AB471/Z471-1</f>
        <v>1.8715171010927665</v>
      </c>
      <c r="AC472" s="72">
        <f>AC471/AB471-1</f>
        <v>0.66287211083837172</v>
      </c>
      <c r="AD472" s="72">
        <f>AD471/AC471-1</f>
        <v>0.34819394083496791</v>
      </c>
      <c r="AE472" s="72">
        <f>AE471/AD471-1</f>
        <v>-0.39029569971488176</v>
      </c>
      <c r="AF472" s="24"/>
      <c r="AG472" s="72">
        <v>-0.59021826903375896</v>
      </c>
      <c r="AH472" s="72">
        <v>2.3823529411764706</v>
      </c>
      <c r="AI472" s="72">
        <v>-0.25217391304347825</v>
      </c>
      <c r="AJ472" s="72">
        <v>1.1627906976744207E-2</v>
      </c>
      <c r="AK472" s="24"/>
      <c r="AL472" s="72">
        <v>-0.96551724137931039</v>
      </c>
      <c r="AM472" s="72">
        <v>54.333333333333336</v>
      </c>
      <c r="AN472" s="72">
        <v>-0.54819277108433728</v>
      </c>
      <c r="AO472" s="72">
        <v>0.46666666666666656</v>
      </c>
      <c r="AP472" s="24"/>
      <c r="AQ472" s="72">
        <v>-0.3545454545454545</v>
      </c>
      <c r="AR472" s="72">
        <v>0.60563380281690149</v>
      </c>
      <c r="AS472" s="72">
        <v>0.2456140350877194</v>
      </c>
      <c r="AT472" s="85" t="s">
        <v>43</v>
      </c>
      <c r="AU472" s="24"/>
      <c r="AV472" s="72">
        <v>-0.95189873417721516</v>
      </c>
      <c r="AW472" s="85" t="s">
        <v>43</v>
      </c>
      <c r="AX472" s="72">
        <v>-0.18543046357615889</v>
      </c>
      <c r="AY472" s="72">
        <v>-1.089430894308943</v>
      </c>
      <c r="AZ472" s="24"/>
      <c r="BA472" s="72">
        <v>-0.90909090909090906</v>
      </c>
      <c r="BB472" s="85" t="s">
        <v>43</v>
      </c>
      <c r="BC472" s="72">
        <v>-0.8</v>
      </c>
      <c r="BD472" s="85" t="s">
        <v>43</v>
      </c>
      <c r="BE472" s="24"/>
    </row>
    <row r="473" spans="1:57">
      <c r="A473" s="71" t="s">
        <v>8</v>
      </c>
      <c r="B473" s="24"/>
      <c r="C473" s="73"/>
      <c r="D473" s="73"/>
      <c r="E473" s="73"/>
      <c r="F473" s="73"/>
      <c r="G473" s="24">
        <f t="shared" ref="G473:N473" si="333">G471/B471-1</f>
        <v>1.2507099736416971</v>
      </c>
      <c r="H473" s="73">
        <f t="shared" si="333"/>
        <v>-0.98246841120926909</v>
      </c>
      <c r="I473" s="73">
        <f t="shared" si="333"/>
        <v>-4.1964519441815562E-2</v>
      </c>
      <c r="J473" s="73">
        <f t="shared" si="333"/>
        <v>7.7075748535804234E-2</v>
      </c>
      <c r="K473" s="73">
        <f t="shared" si="333"/>
        <v>1.1549456832475702</v>
      </c>
      <c r="L473" s="24">
        <f t="shared" si="333"/>
        <v>-0.15961859572506865</v>
      </c>
      <c r="M473" s="73">
        <f t="shared" si="333"/>
        <v>6.169991326973113</v>
      </c>
      <c r="N473" s="73">
        <f t="shared" si="333"/>
        <v>0.50055699182378044</v>
      </c>
      <c r="O473" s="73">
        <f t="shared" ref="O473:Y473" si="334">O471/J471-1</f>
        <v>-0.11424760052907057</v>
      </c>
      <c r="P473" s="73">
        <f t="shared" si="334"/>
        <v>1.2349960201644992</v>
      </c>
      <c r="Q473" s="24">
        <f t="shared" si="334"/>
        <v>0.40990496911721075</v>
      </c>
      <c r="R473" s="73">
        <f t="shared" si="334"/>
        <v>7.8760130639893564</v>
      </c>
      <c r="S473" s="73">
        <f t="shared" si="334"/>
        <v>-0.38113514119229042</v>
      </c>
      <c r="T473" s="73">
        <f t="shared" si="334"/>
        <v>-3.147375272810804E-2</v>
      </c>
      <c r="U473" s="85" t="s">
        <v>43</v>
      </c>
      <c r="V473" s="24">
        <f t="shared" si="334"/>
        <v>-0.26789398002161724</v>
      </c>
      <c r="W473" s="73">
        <f t="shared" si="334"/>
        <v>-0.12968464662432877</v>
      </c>
      <c r="X473" s="73">
        <f t="shared" si="334"/>
        <v>0.2068715766601783</v>
      </c>
      <c r="Y473" s="73">
        <f t="shared" si="334"/>
        <v>0.56384002108453557</v>
      </c>
      <c r="Z473" s="85" t="s">
        <v>43</v>
      </c>
      <c r="AA473" s="24">
        <v>0.35145481388573163</v>
      </c>
      <c r="AB473" s="73">
        <f t="shared" ref="AB473:AE473" si="335">AB471/W471-1</f>
        <v>-4.9497353668848443E-2</v>
      </c>
      <c r="AC473" s="73">
        <f t="shared" si="335"/>
        <v>-5.3505119837965576E-2</v>
      </c>
      <c r="AD473" s="73">
        <f t="shared" si="335"/>
        <v>0.14672374275313471</v>
      </c>
      <c r="AE473" s="73">
        <f t="shared" si="335"/>
        <v>2.92502010501916</v>
      </c>
      <c r="AF473" s="24">
        <v>0.22679066889664434</v>
      </c>
      <c r="AG473" s="73">
        <v>-0.43987743200276763</v>
      </c>
      <c r="AH473" s="164">
        <v>0.13931324179199112</v>
      </c>
      <c r="AI473" s="73">
        <v>-0.36803738867170277</v>
      </c>
      <c r="AJ473" s="73">
        <v>4.8559135119499164E-2</v>
      </c>
      <c r="AK473" s="24">
        <v>-0.15417632008910043</v>
      </c>
      <c r="AL473" s="73">
        <v>-0.91176470588235292</v>
      </c>
      <c r="AM473" s="73">
        <v>0.44347826086956532</v>
      </c>
      <c r="AN473" s="73">
        <v>-0.12790697674418605</v>
      </c>
      <c r="AO473" s="73">
        <v>0.26436781609195403</v>
      </c>
      <c r="AP473" s="24">
        <v>9.9378881987577605E-2</v>
      </c>
      <c r="AQ473" s="73">
        <v>22.666666666666668</v>
      </c>
      <c r="AR473" s="73">
        <v>-0.31325301204819278</v>
      </c>
      <c r="AS473" s="73">
        <v>0.89333333333333331</v>
      </c>
      <c r="AT473" s="85" t="s">
        <v>43</v>
      </c>
      <c r="AU473" s="92" t="s">
        <v>43</v>
      </c>
      <c r="AV473" s="83" t="s">
        <v>43</v>
      </c>
      <c r="AW473" s="73">
        <v>0.32456140350877183</v>
      </c>
      <c r="AX473" s="73">
        <v>-0.13380281690140849</v>
      </c>
      <c r="AY473" s="73">
        <v>-0.97215189873417718</v>
      </c>
      <c r="AZ473" s="92" t="s">
        <v>43</v>
      </c>
      <c r="BA473" s="73">
        <v>-0.94736842105263164</v>
      </c>
      <c r="BB473" s="73">
        <v>-0.93377483443708609</v>
      </c>
      <c r="BC473" s="73">
        <v>-0.98373983739837401</v>
      </c>
      <c r="BD473" s="85" t="s">
        <v>43</v>
      </c>
      <c r="BE473" s="24">
        <v>3.7049180327868854</v>
      </c>
    </row>
    <row r="474" spans="1:57" s="36" customFormat="1">
      <c r="A474" s="69" t="s">
        <v>260</v>
      </c>
      <c r="B474" s="37">
        <f>B437+B462</f>
        <v>329.20100000000002</v>
      </c>
      <c r="C474" s="77">
        <f>C437+C462</f>
        <v>91.557999999999993</v>
      </c>
      <c r="D474" s="77">
        <f>D437+D462</f>
        <v>103.146</v>
      </c>
      <c r="E474" s="77">
        <f>E437+E462</f>
        <v>111.151</v>
      </c>
      <c r="F474" s="70">
        <f>G474-E474-D474-C474</f>
        <v>121.173</v>
      </c>
      <c r="G474" s="37">
        <f>G437+G462</f>
        <v>427.02800000000002</v>
      </c>
      <c r="H474" s="77">
        <f>H437+H462</f>
        <v>122.495</v>
      </c>
      <c r="I474" s="77">
        <f>I437+I462</f>
        <v>114.616</v>
      </c>
      <c r="J474" s="77">
        <f>J437+J462</f>
        <v>119.589</v>
      </c>
      <c r="K474" s="70">
        <f>L474-J474-I474-H474</f>
        <v>125.72000000000003</v>
      </c>
      <c r="L474" s="37">
        <f>L437+L462</f>
        <v>482.42</v>
      </c>
      <c r="M474" s="77">
        <f>M437+M462</f>
        <v>122.44499999999999</v>
      </c>
      <c r="N474" s="77">
        <f>N437+N462</f>
        <v>75.460999999999999</v>
      </c>
      <c r="O474" s="77">
        <f>O437+O462</f>
        <v>139.52199999999999</v>
      </c>
      <c r="P474" s="70">
        <f>Q474-O474-N474-M474</f>
        <v>125.62300000000005</v>
      </c>
      <c r="Q474" s="37">
        <f>Q437+Q462</f>
        <v>463.05100000000004</v>
      </c>
      <c r="R474" s="77">
        <f>R437+R462</f>
        <v>129.96299999999999</v>
      </c>
      <c r="S474" s="77">
        <f>S437+S462</f>
        <v>136.44400000000002</v>
      </c>
      <c r="T474" s="77">
        <f>T437+T462</f>
        <v>137.43799999999999</v>
      </c>
      <c r="U474" s="70">
        <v>168</v>
      </c>
      <c r="V474" s="37">
        <f>V437+V462</f>
        <v>571.26099999999997</v>
      </c>
      <c r="W474" s="77">
        <v>118</v>
      </c>
      <c r="X474" s="77">
        <f>X437+X462</f>
        <v>128.29</v>
      </c>
      <c r="Y474" s="77">
        <f>Y437+Y462</f>
        <v>118.422</v>
      </c>
      <c r="Z474" s="70">
        <f>AA474-Y474-X474-W474</f>
        <v>136.79100000000003</v>
      </c>
      <c r="AA474" s="37">
        <f>500.999+0.504</f>
        <v>501.50300000000004</v>
      </c>
      <c r="AB474" s="77">
        <f>AB462+AB437+0.8</f>
        <v>130.18200000000002</v>
      </c>
      <c r="AC474" s="77">
        <f>AC437+AC462</f>
        <v>131.68900000000002</v>
      </c>
      <c r="AD474" s="77">
        <f>AD437+AD462</f>
        <v>138.41399999999999</v>
      </c>
      <c r="AE474" s="77">
        <v>131</v>
      </c>
      <c r="AF474" s="37">
        <v>529.73500000000001</v>
      </c>
      <c r="AG474" s="77">
        <v>143</v>
      </c>
      <c r="AH474" s="77">
        <v>141</v>
      </c>
      <c r="AI474" s="77">
        <v>151</v>
      </c>
      <c r="AJ474" s="77">
        <v>135</v>
      </c>
      <c r="AK474" s="37">
        <v>570</v>
      </c>
      <c r="AL474" s="77">
        <v>135</v>
      </c>
      <c r="AM474" s="77">
        <v>150</v>
      </c>
      <c r="AN474" s="77">
        <v>152</v>
      </c>
      <c r="AO474" s="70">
        <v>135</v>
      </c>
      <c r="AP474" s="37">
        <v>572</v>
      </c>
      <c r="AQ474" s="77">
        <v>133</v>
      </c>
      <c r="AR474" s="77">
        <v>151</v>
      </c>
      <c r="AS474" s="77">
        <v>137</v>
      </c>
      <c r="AT474" s="70">
        <v>139</v>
      </c>
      <c r="AU474" s="37">
        <v>560</v>
      </c>
      <c r="AV474" s="77">
        <v>122</v>
      </c>
      <c r="AW474" s="77">
        <v>120</v>
      </c>
      <c r="AX474" s="77">
        <v>107</v>
      </c>
      <c r="AY474" s="70">
        <v>99</v>
      </c>
      <c r="AZ474" s="37">
        <v>448</v>
      </c>
      <c r="BA474" s="77">
        <v>78</v>
      </c>
      <c r="BB474" s="77">
        <v>62</v>
      </c>
      <c r="BC474" s="77">
        <v>82</v>
      </c>
      <c r="BD474" s="186">
        <v>-1055</v>
      </c>
      <c r="BE474" s="178">
        <v>-833</v>
      </c>
    </row>
    <row r="475" spans="1:57">
      <c r="A475" s="71" t="s">
        <v>7</v>
      </c>
      <c r="B475" s="24"/>
      <c r="C475" s="72"/>
      <c r="D475" s="72">
        <f>D474/C474-1</f>
        <v>0.12656458201358722</v>
      </c>
      <c r="E475" s="72">
        <f>E474/D474-1</f>
        <v>7.7608438524033874E-2</v>
      </c>
      <c r="F475" s="72">
        <f>F474/E474-1</f>
        <v>9.0165630538636687E-2</v>
      </c>
      <c r="G475" s="24"/>
      <c r="H475" s="72">
        <f>H474/F474-1</f>
        <v>1.0910021209345366E-2</v>
      </c>
      <c r="I475" s="72">
        <f>I474/H474-1</f>
        <v>-6.4320992693579382E-2</v>
      </c>
      <c r="J475" s="72">
        <f>J474/I474-1</f>
        <v>4.3388357646401809E-2</v>
      </c>
      <c r="K475" s="72">
        <f>K474/J474-1</f>
        <v>5.1267257021967216E-2</v>
      </c>
      <c r="L475" s="24"/>
      <c r="M475" s="72">
        <f>M474/K474-1</f>
        <v>-2.6049952274896815E-2</v>
      </c>
      <c r="N475" s="72">
        <f>N474/M474-1</f>
        <v>-0.38371513740863239</v>
      </c>
      <c r="O475" s="72">
        <f>O474/N474-1</f>
        <v>0.84892858562701257</v>
      </c>
      <c r="P475" s="72">
        <f>P474/O474-1</f>
        <v>-9.9618698126459959E-2</v>
      </c>
      <c r="Q475" s="24"/>
      <c r="R475" s="72">
        <f>R474/P474-1</f>
        <v>3.4547813696536034E-2</v>
      </c>
      <c r="S475" s="72">
        <f>S474/R474-1</f>
        <v>4.9868039365050132E-2</v>
      </c>
      <c r="T475" s="72">
        <f>T474/S474-1</f>
        <v>7.2850400164168327E-3</v>
      </c>
      <c r="U475" s="72">
        <f>U474/T474-1</f>
        <v>0.22236935927472756</v>
      </c>
      <c r="V475" s="24"/>
      <c r="W475" s="72">
        <f>W474/U474-1</f>
        <v>-0.29761904761904767</v>
      </c>
      <c r="X475" s="72">
        <f>X474/W474-1</f>
        <v>8.720338983050846E-2</v>
      </c>
      <c r="Y475" s="72">
        <f>Y474/X474-1</f>
        <v>-7.6919479304700222E-2</v>
      </c>
      <c r="Z475" s="72">
        <v>0.150858793129655</v>
      </c>
      <c r="AA475" s="24"/>
      <c r="AB475" s="72">
        <f>AB474/Z474-1</f>
        <v>-4.8314582099699632E-2</v>
      </c>
      <c r="AC475" s="72">
        <f>AC474/AB474-1</f>
        <v>1.1576101150696738E-2</v>
      </c>
      <c r="AD475" s="72">
        <f>AD474/AC474-1</f>
        <v>5.1067287320884613E-2</v>
      </c>
      <c r="AE475" s="72">
        <f>AE474/AD474-1</f>
        <v>-5.3563945843628447E-2</v>
      </c>
      <c r="AF475" s="24"/>
      <c r="AG475" s="72">
        <v>9.1603053435114434E-2</v>
      </c>
      <c r="AH475" s="72">
        <v>-1.3986013986013957E-2</v>
      </c>
      <c r="AI475" s="72">
        <v>7.0921985815602939E-2</v>
      </c>
      <c r="AJ475" s="72">
        <v>-0.10596026490066224</v>
      </c>
      <c r="AK475" s="24"/>
      <c r="AL475" s="72">
        <v>0</v>
      </c>
      <c r="AM475" s="72">
        <v>0.11111111111111116</v>
      </c>
      <c r="AN475" s="72">
        <v>1.3333333333333419E-2</v>
      </c>
      <c r="AO475" s="72">
        <v>-0.11184210526315785</v>
      </c>
      <c r="AP475" s="24"/>
      <c r="AQ475" s="72">
        <v>-1.4814814814814836E-2</v>
      </c>
      <c r="AR475" s="72">
        <v>0.13533834586466176</v>
      </c>
      <c r="AS475" s="72">
        <v>-9.27152317880795E-2</v>
      </c>
      <c r="AT475" s="72">
        <v>1.4598540145985384E-2</v>
      </c>
      <c r="AU475" s="24"/>
      <c r="AV475" s="72">
        <v>-0.12230215827338131</v>
      </c>
      <c r="AW475" s="72">
        <v>-1.6393442622950838E-2</v>
      </c>
      <c r="AX475" s="72">
        <v>-0.10833333333333328</v>
      </c>
      <c r="AY475" s="72">
        <v>-7.4766355140186924E-2</v>
      </c>
      <c r="AZ475" s="24"/>
      <c r="BA475" s="72">
        <v>-0.21212121212121215</v>
      </c>
      <c r="BB475" s="72">
        <v>-0.20512820512820518</v>
      </c>
      <c r="BC475" s="72">
        <v>0.32258064516129026</v>
      </c>
      <c r="BD475" s="85" t="s">
        <v>43</v>
      </c>
      <c r="BE475" s="24"/>
    </row>
    <row r="476" spans="1:57">
      <c r="A476" s="71" t="s">
        <v>8</v>
      </c>
      <c r="B476" s="24"/>
      <c r="C476" s="73"/>
      <c r="D476" s="73"/>
      <c r="E476" s="73"/>
      <c r="F476" s="73"/>
      <c r="G476" s="24">
        <f t="shared" ref="G476:N476" si="336">G474/B474-1</f>
        <v>0.29716495393391873</v>
      </c>
      <c r="H476" s="73">
        <f t="shared" si="336"/>
        <v>0.33789510474234929</v>
      </c>
      <c r="I476" s="73">
        <f t="shared" si="336"/>
        <v>0.11120159773524896</v>
      </c>
      <c r="J476" s="73">
        <f t="shared" si="336"/>
        <v>7.591474660596842E-2</v>
      </c>
      <c r="K476" s="73">
        <f t="shared" si="336"/>
        <v>3.7524861148936051E-2</v>
      </c>
      <c r="L476" s="24">
        <f t="shared" si="336"/>
        <v>0.12971514748447399</v>
      </c>
      <c r="M476" s="73">
        <f t="shared" si="336"/>
        <v>-4.0817992571129391E-4</v>
      </c>
      <c r="N476" s="73">
        <f t="shared" si="336"/>
        <v>-0.34161897117330919</v>
      </c>
      <c r="O476" s="73">
        <f t="shared" ref="O476:V476" si="337">O474/J474-1</f>
        <v>0.16667920962630345</v>
      </c>
      <c r="P476" s="73">
        <f t="shared" si="337"/>
        <v>-7.7155583837085207E-4</v>
      </c>
      <c r="Q476" s="24">
        <f t="shared" si="337"/>
        <v>-4.0149662120144258E-2</v>
      </c>
      <c r="R476" s="73">
        <f t="shared" si="337"/>
        <v>6.1398995467352613E-2</v>
      </c>
      <c r="S476" s="73">
        <f t="shared" si="337"/>
        <v>0.80813930374630627</v>
      </c>
      <c r="T476" s="73">
        <f t="shared" si="337"/>
        <v>-1.4936712489786563E-2</v>
      </c>
      <c r="U476" s="73">
        <f t="shared" si="337"/>
        <v>0.33733472373689488</v>
      </c>
      <c r="V476" s="24">
        <f t="shared" si="337"/>
        <v>0.23368916166901688</v>
      </c>
      <c r="W476" s="73">
        <v>-9.1999999999999998E-2</v>
      </c>
      <c r="X476" s="73">
        <f>X474/S474-1</f>
        <v>-5.97607809797428E-2</v>
      </c>
      <c r="Y476" s="73">
        <f>Y474/T474-1</f>
        <v>-0.13836056985695366</v>
      </c>
      <c r="Z476" s="73">
        <v>-0.18593802265016468</v>
      </c>
      <c r="AA476" s="24">
        <v>-0.12299456815711196</v>
      </c>
      <c r="AB476" s="73">
        <v>0.104</v>
      </c>
      <c r="AC476" s="73">
        <f>AC474/X474-1</f>
        <v>2.6494660534726266E-2</v>
      </c>
      <c r="AD476" s="73">
        <f>AD474/Y474-1</f>
        <v>0.1688199827734711</v>
      </c>
      <c r="AE476" s="73">
        <v>-4.4999999999999998E-2</v>
      </c>
      <c r="AF476" s="24">
        <v>5.6294777897639703E-2</v>
      </c>
      <c r="AG476" s="73">
        <v>9.8462152985819618E-2</v>
      </c>
      <c r="AH476" s="73">
        <v>7.0704462787324562E-2</v>
      </c>
      <c r="AI476" s="73">
        <v>9.0930108226046524E-2</v>
      </c>
      <c r="AJ476" s="73">
        <v>3.5000000000000003E-2</v>
      </c>
      <c r="AK476" s="24">
        <v>7.6009702964689785E-2</v>
      </c>
      <c r="AL476" s="73">
        <v>-5.5944055944055937E-2</v>
      </c>
      <c r="AM476" s="73">
        <v>6.3829787234042534E-2</v>
      </c>
      <c r="AN476" s="73">
        <v>6.6225165562914245E-3</v>
      </c>
      <c r="AO476" s="73">
        <v>0</v>
      </c>
      <c r="AP476" s="24">
        <v>3.5087719298245723E-3</v>
      </c>
      <c r="AQ476" s="73">
        <v>-1.4814814814814836E-2</v>
      </c>
      <c r="AR476" s="73">
        <v>6.6666666666665986E-3</v>
      </c>
      <c r="AS476" s="73">
        <v>-9.8684210526315819E-2</v>
      </c>
      <c r="AT476" s="73">
        <v>2.9629629629629672E-2</v>
      </c>
      <c r="AU476" s="24">
        <v>-2.0979020979020935E-2</v>
      </c>
      <c r="AV476" s="73">
        <v>-8.2706766917293284E-2</v>
      </c>
      <c r="AW476" s="73">
        <v>-0.20529801324503316</v>
      </c>
      <c r="AX476" s="73">
        <v>-0.21897810218978098</v>
      </c>
      <c r="AY476" s="73">
        <v>-0.28776978417266186</v>
      </c>
      <c r="AZ476" s="24">
        <v>-0.19999999999999996</v>
      </c>
      <c r="BA476" s="73">
        <v>-0.36065573770491799</v>
      </c>
      <c r="BB476" s="73">
        <v>-0.48333333333333328</v>
      </c>
      <c r="BC476" s="73">
        <v>-0.23364485981308414</v>
      </c>
      <c r="BD476" s="85" t="s">
        <v>43</v>
      </c>
      <c r="BE476" s="92" t="s">
        <v>43</v>
      </c>
    </row>
    <row r="477" spans="1:57">
      <c r="A477" s="69" t="s">
        <v>281</v>
      </c>
      <c r="B477" s="22"/>
      <c r="C477" s="73"/>
      <c r="D477" s="73"/>
      <c r="E477" s="73"/>
      <c r="F477" s="73"/>
      <c r="G477" s="22"/>
      <c r="H477" s="73"/>
      <c r="I477" s="73"/>
      <c r="J477" s="73"/>
      <c r="K477" s="73"/>
      <c r="L477" s="22"/>
      <c r="M477" s="73"/>
      <c r="N477" s="73"/>
      <c r="O477" s="73"/>
      <c r="P477" s="73"/>
      <c r="Q477" s="22"/>
      <c r="R477" s="73"/>
      <c r="S477" s="73"/>
      <c r="T477" s="73"/>
      <c r="U477" s="73"/>
      <c r="V477" s="22"/>
      <c r="W477" s="73"/>
      <c r="X477" s="73"/>
      <c r="Y477" s="73"/>
      <c r="Z477" s="73"/>
      <c r="AA477" s="22"/>
      <c r="AB477" s="73"/>
      <c r="AC477" s="73"/>
      <c r="AD477" s="73"/>
      <c r="AE477" s="73"/>
      <c r="AF477" s="22"/>
      <c r="AG477" s="73"/>
      <c r="AH477" s="73"/>
      <c r="AI477" s="73"/>
      <c r="AJ477" s="73"/>
      <c r="AK477" s="22"/>
      <c r="AL477" s="73"/>
      <c r="AM477" s="73"/>
      <c r="AN477" s="73"/>
      <c r="AO477" s="73"/>
      <c r="AP477" s="22"/>
      <c r="AQ477" s="73"/>
      <c r="AR477" s="73"/>
      <c r="AS477" s="73"/>
      <c r="AT477" s="73"/>
      <c r="AU477" s="22"/>
      <c r="AV477" s="73"/>
      <c r="AW477" s="73"/>
      <c r="AX477" s="73"/>
      <c r="AY477" s="73"/>
      <c r="AZ477" s="22"/>
      <c r="BA477" s="77">
        <v>70</v>
      </c>
      <c r="BB477" s="77">
        <v>54</v>
      </c>
      <c r="BC477" s="77">
        <v>73</v>
      </c>
      <c r="BD477" s="186">
        <v>39</v>
      </c>
      <c r="BE477" s="178">
        <v>236</v>
      </c>
    </row>
    <row r="478" spans="1:57">
      <c r="A478" s="69"/>
      <c r="B478" s="22"/>
      <c r="C478" s="73"/>
      <c r="D478" s="73"/>
      <c r="E478" s="73"/>
      <c r="F478" s="73"/>
      <c r="G478" s="22"/>
      <c r="H478" s="73"/>
      <c r="I478" s="73"/>
      <c r="J478" s="73"/>
      <c r="K478" s="73"/>
      <c r="L478" s="22"/>
      <c r="M478" s="73"/>
      <c r="N478" s="73"/>
      <c r="O478" s="73"/>
      <c r="P478" s="73"/>
      <c r="Q478" s="22"/>
      <c r="R478" s="73"/>
      <c r="S478" s="73"/>
      <c r="T478" s="73"/>
      <c r="U478" s="73"/>
      <c r="V478" s="22"/>
      <c r="W478" s="73"/>
      <c r="X478" s="73"/>
      <c r="Y478" s="73"/>
      <c r="Z478" s="73"/>
      <c r="AA478" s="22"/>
      <c r="AB478" s="73"/>
      <c r="AC478" s="73"/>
      <c r="AD478" s="73"/>
      <c r="AE478" s="73"/>
      <c r="AF478" s="22"/>
      <c r="AG478" s="73"/>
      <c r="AH478" s="73"/>
      <c r="AI478" s="73"/>
      <c r="AJ478" s="73"/>
      <c r="AK478" s="22"/>
      <c r="AL478" s="73"/>
      <c r="AM478" s="73"/>
      <c r="AN478" s="73"/>
      <c r="AO478" s="73"/>
      <c r="AP478" s="22"/>
      <c r="AQ478" s="73"/>
      <c r="AR478" s="73"/>
      <c r="AS478" s="73"/>
      <c r="AT478" s="73"/>
      <c r="AU478" s="22"/>
      <c r="AV478" s="73"/>
      <c r="AW478" s="73"/>
      <c r="AX478" s="73"/>
      <c r="AY478" s="73"/>
      <c r="AZ478" s="22"/>
      <c r="BA478" s="73"/>
      <c r="BB478" s="73"/>
      <c r="BC478" s="73"/>
      <c r="BD478" s="73"/>
      <c r="BE478" s="22"/>
    </row>
    <row r="479" spans="1:57">
      <c r="A479" s="40" t="s">
        <v>26</v>
      </c>
      <c r="B479" s="41"/>
      <c r="C479" s="53"/>
      <c r="D479" s="53"/>
      <c r="E479" s="53"/>
      <c r="F479" s="53"/>
      <c r="G479" s="41"/>
      <c r="H479" s="53"/>
      <c r="I479" s="53"/>
      <c r="J479" s="53"/>
      <c r="K479" s="53"/>
      <c r="L479" s="41"/>
      <c r="M479" s="53"/>
      <c r="N479" s="53"/>
      <c r="O479" s="53"/>
      <c r="P479" s="53"/>
      <c r="Q479" s="41"/>
      <c r="R479" s="53"/>
      <c r="S479" s="53"/>
      <c r="T479" s="53"/>
      <c r="U479" s="53"/>
      <c r="V479" s="41"/>
      <c r="W479" s="53"/>
      <c r="X479" s="53"/>
      <c r="Y479" s="53"/>
      <c r="Z479" s="53"/>
      <c r="AA479" s="41"/>
      <c r="AB479" s="53"/>
      <c r="AC479" s="53"/>
      <c r="AD479" s="53"/>
      <c r="AE479" s="53"/>
      <c r="AF479" s="41"/>
      <c r="AG479" s="53"/>
      <c r="AH479" s="53"/>
      <c r="AI479" s="53"/>
      <c r="AJ479" s="53"/>
      <c r="AK479" s="41"/>
      <c r="AL479" s="53"/>
      <c r="AM479" s="53"/>
      <c r="AN479" s="53"/>
      <c r="AO479" s="53"/>
      <c r="AP479" s="41"/>
      <c r="AQ479" s="53"/>
      <c r="AR479" s="53"/>
      <c r="AS479" s="53"/>
      <c r="AT479" s="53"/>
      <c r="AU479" s="41"/>
      <c r="AV479" s="53"/>
      <c r="AW479" s="53"/>
      <c r="AX479" s="53"/>
      <c r="AY479" s="53"/>
      <c r="AZ479" s="41"/>
      <c r="BA479" s="53"/>
      <c r="BB479" s="53"/>
      <c r="BC479" s="53"/>
      <c r="BD479" s="53"/>
      <c r="BE479" s="41"/>
    </row>
    <row r="480" spans="1:57" s="36" customFormat="1">
      <c r="A480" s="69" t="s">
        <v>12</v>
      </c>
      <c r="B480" s="37">
        <v>249.875</v>
      </c>
      <c r="C480" s="70">
        <v>84.1</v>
      </c>
      <c r="D480" s="70">
        <v>32.369999999999997</v>
      </c>
      <c r="E480" s="70">
        <v>97.233000000000004</v>
      </c>
      <c r="F480" s="70">
        <f>G480-E480-D480-C480</f>
        <v>133.32399999999998</v>
      </c>
      <c r="G480" s="37">
        <v>347.02699999999999</v>
      </c>
      <c r="H480" s="70">
        <v>90.685000000000002</v>
      </c>
      <c r="I480" s="70">
        <v>93.376000000000005</v>
      </c>
      <c r="J480" s="70">
        <v>135.02799999999999</v>
      </c>
      <c r="K480" s="70">
        <f>L480-J480-I480-H480</f>
        <v>90.639000000000038</v>
      </c>
      <c r="L480" s="37">
        <v>409.72800000000001</v>
      </c>
      <c r="M480" s="70">
        <v>124.29600000000001</v>
      </c>
      <c r="N480" s="70">
        <v>109.545</v>
      </c>
      <c r="O480" s="70">
        <v>126.117</v>
      </c>
      <c r="P480" s="70">
        <f>Q480-O480-N480-M480</f>
        <v>131.55599999999998</v>
      </c>
      <c r="Q480" s="37">
        <v>491.51400000000001</v>
      </c>
      <c r="R480" s="70">
        <v>141.339</v>
      </c>
      <c r="S480" s="70">
        <v>118.801</v>
      </c>
      <c r="T480" s="70">
        <v>134.20099999999999</v>
      </c>
      <c r="U480" s="70">
        <f>V480-T480-S480-R480</f>
        <v>118.80799999999999</v>
      </c>
      <c r="V480" s="37">
        <v>513.149</v>
      </c>
      <c r="W480" s="70">
        <v>115.95099999999999</v>
      </c>
      <c r="X480" s="70">
        <v>100.084</v>
      </c>
      <c r="Y480" s="70">
        <v>82.509</v>
      </c>
      <c r="Z480" s="70">
        <f>AA480-Y480-X480-W480</f>
        <v>119.50300000000001</v>
      </c>
      <c r="AA480" s="37">
        <v>418.04700000000003</v>
      </c>
      <c r="AB480" s="70">
        <v>121.581</v>
      </c>
      <c r="AC480" s="70">
        <v>110.20099999999999</v>
      </c>
      <c r="AD480" s="70">
        <v>125.82599999999999</v>
      </c>
      <c r="AE480" s="70">
        <v>134</v>
      </c>
      <c r="AF480" s="37">
        <v>490</v>
      </c>
      <c r="AG480" s="70">
        <v>113</v>
      </c>
      <c r="AH480" s="70">
        <v>106</v>
      </c>
      <c r="AI480" s="70">
        <v>101</v>
      </c>
      <c r="AJ480" s="70">
        <v>122</v>
      </c>
      <c r="AK480" s="37">
        <v>442</v>
      </c>
      <c r="AL480" s="70">
        <v>149</v>
      </c>
      <c r="AM480" s="70">
        <v>106</v>
      </c>
      <c r="AN480" s="70">
        <v>145</v>
      </c>
      <c r="AO480" s="70">
        <v>105</v>
      </c>
      <c r="AP480" s="37">
        <v>505</v>
      </c>
      <c r="AQ480" s="70">
        <v>158</v>
      </c>
      <c r="AR480" s="70">
        <v>110</v>
      </c>
      <c r="AS480" s="70">
        <v>154</v>
      </c>
      <c r="AT480" s="70">
        <v>207</v>
      </c>
      <c r="AU480" s="37">
        <v>629</v>
      </c>
      <c r="AV480" s="70">
        <v>51</v>
      </c>
      <c r="AW480" s="70">
        <v>169</v>
      </c>
      <c r="AX480" s="70">
        <v>115</v>
      </c>
      <c r="AY480" s="70">
        <v>95</v>
      </c>
      <c r="AZ480" s="37">
        <v>430</v>
      </c>
      <c r="BA480" s="70">
        <v>86</v>
      </c>
      <c r="BB480" s="70">
        <v>60</v>
      </c>
      <c r="BC480" s="70">
        <v>34</v>
      </c>
      <c r="BD480" s="70">
        <v>46</v>
      </c>
      <c r="BE480" s="37">
        <v>226</v>
      </c>
    </row>
    <row r="481" spans="1:57">
      <c r="A481" s="82" t="s">
        <v>7</v>
      </c>
      <c r="B481" s="24"/>
      <c r="C481" s="72"/>
      <c r="D481" s="72">
        <f>D480/C480-1</f>
        <v>-0.61510107015457782</v>
      </c>
      <c r="E481" s="72">
        <f>E480/D480-1</f>
        <v>2.0037998146431883</v>
      </c>
      <c r="F481" s="72">
        <f>F480/E480-1</f>
        <v>0.37118056626865337</v>
      </c>
      <c r="G481" s="24"/>
      <c r="H481" s="72">
        <f>H480/F480-1</f>
        <v>-0.31981488704209282</v>
      </c>
      <c r="I481" s="72">
        <f>I480/H480-1</f>
        <v>2.9674146771792476E-2</v>
      </c>
      <c r="J481" s="72">
        <f>J480/I480-1</f>
        <v>0.44606751199451655</v>
      </c>
      <c r="K481" s="72">
        <f>K480/J480-1</f>
        <v>-0.32873922445714931</v>
      </c>
      <c r="L481" s="24"/>
      <c r="M481" s="72">
        <f>M480/K480-1</f>
        <v>0.37133022208982847</v>
      </c>
      <c r="N481" s="72">
        <f>N480/M480-1</f>
        <v>-0.1186763854025874</v>
      </c>
      <c r="O481" s="72">
        <f>O480/N480-1</f>
        <v>0.15128029576886215</v>
      </c>
      <c r="P481" s="72">
        <f>P480/O480-1</f>
        <v>4.3126620519041703E-2</v>
      </c>
      <c r="Q481" s="24"/>
      <c r="R481" s="72">
        <f>R480/P480-1</f>
        <v>7.4363769041321026E-2</v>
      </c>
      <c r="S481" s="72">
        <f>S480/R480-1</f>
        <v>-0.15946058766511717</v>
      </c>
      <c r="T481" s="72">
        <f>T480/S480-1</f>
        <v>0.12962853848031575</v>
      </c>
      <c r="U481" s="72">
        <f>U480/T480-1</f>
        <v>-0.11470108270430179</v>
      </c>
      <c r="V481" s="24"/>
      <c r="W481" s="72">
        <f>W480/U480-1</f>
        <v>-2.4047202208605456E-2</v>
      </c>
      <c r="X481" s="72">
        <f>X480/W480-1</f>
        <v>-0.13684228682805655</v>
      </c>
      <c r="Y481" s="72">
        <f>Y480/X480-1</f>
        <v>-0.17560249390511973</v>
      </c>
      <c r="Z481" s="72">
        <v>0.44838744864196656</v>
      </c>
      <c r="AA481" s="24"/>
      <c r="AB481" s="72">
        <f>AB480/Z480-1</f>
        <v>1.7388684802891907E-2</v>
      </c>
      <c r="AC481" s="72">
        <f>AC480/AB480-1</f>
        <v>-9.3600151339436333E-2</v>
      </c>
      <c r="AD481" s="72">
        <f>AD480/AC480-1</f>
        <v>0.1417863721744812</v>
      </c>
      <c r="AE481" s="72">
        <f>AE480/AD480-1</f>
        <v>6.4962726304579332E-2</v>
      </c>
      <c r="AF481" s="24"/>
      <c r="AG481" s="72">
        <v>-0.15671641791044777</v>
      </c>
      <c r="AH481" s="72">
        <v>-6.1946902654867242E-2</v>
      </c>
      <c r="AI481" s="72">
        <v>-4.7169811320754707E-2</v>
      </c>
      <c r="AJ481" s="72">
        <v>0.20792079207920788</v>
      </c>
      <c r="AK481" s="24"/>
      <c r="AL481" s="72">
        <v>0.22131147540983598</v>
      </c>
      <c r="AM481" s="72">
        <v>-0.28859060402684567</v>
      </c>
      <c r="AN481" s="72">
        <v>0.36792452830188682</v>
      </c>
      <c r="AO481" s="72">
        <v>-0.27586206896551724</v>
      </c>
      <c r="AP481" s="24"/>
      <c r="AQ481" s="72">
        <v>0.50476190476190474</v>
      </c>
      <c r="AR481" s="72">
        <v>-0.30379746835443033</v>
      </c>
      <c r="AS481" s="72">
        <v>0.39999999999999991</v>
      </c>
      <c r="AT481" s="72">
        <v>0.3441558441558441</v>
      </c>
      <c r="AU481" s="24"/>
      <c r="AV481" s="72">
        <v>-0.75362318840579712</v>
      </c>
      <c r="AW481" s="72">
        <v>2.3137254901960786</v>
      </c>
      <c r="AX481" s="72">
        <v>-0.31952662721893488</v>
      </c>
      <c r="AY481" s="72">
        <v>-0.17391304347826086</v>
      </c>
      <c r="AZ481" s="24"/>
      <c r="BA481" s="72">
        <v>-9.4736842105263119E-2</v>
      </c>
      <c r="BB481" s="72">
        <v>-0.30232558139534882</v>
      </c>
      <c r="BC481" s="72">
        <v>-0.43333333333333335</v>
      </c>
      <c r="BD481" s="72">
        <v>0.35294117647058831</v>
      </c>
      <c r="BE481" s="24"/>
    </row>
    <row r="482" spans="1:57">
      <c r="A482" s="82" t="s">
        <v>8</v>
      </c>
      <c r="B482" s="24"/>
      <c r="C482" s="73"/>
      <c r="D482" s="73"/>
      <c r="E482" s="73"/>
      <c r="F482" s="73"/>
      <c r="G482" s="24">
        <f t="shared" ref="G482:N482" si="338">G480/B480-1</f>
        <v>0.38880240120060017</v>
      </c>
      <c r="H482" s="73">
        <f t="shared" si="338"/>
        <v>7.8299643281807496E-2</v>
      </c>
      <c r="I482" s="73">
        <f t="shared" si="338"/>
        <v>1.884646277417362</v>
      </c>
      <c r="J482" s="73">
        <f t="shared" si="338"/>
        <v>0.38870548064957355</v>
      </c>
      <c r="K482" s="73">
        <f t="shared" si="338"/>
        <v>-0.32015991119378318</v>
      </c>
      <c r="L482" s="24">
        <f t="shared" si="338"/>
        <v>0.18068046578508312</v>
      </c>
      <c r="M482" s="73">
        <f t="shared" si="338"/>
        <v>0.37063461432430955</v>
      </c>
      <c r="N482" s="73">
        <f t="shared" si="338"/>
        <v>0.17316012679917758</v>
      </c>
      <c r="O482" s="73">
        <f t="shared" ref="O482:Y482" si="339">O480/J480-1</f>
        <v>-6.5993719821074048E-2</v>
      </c>
      <c r="P482" s="73">
        <f t="shared" si="339"/>
        <v>0.4514281931618831</v>
      </c>
      <c r="Q482" s="24">
        <f t="shared" si="339"/>
        <v>0.19961047328959691</v>
      </c>
      <c r="R482" s="73">
        <f t="shared" si="339"/>
        <v>0.13711623865611111</v>
      </c>
      <c r="S482" s="73">
        <f t="shared" si="339"/>
        <v>8.4494956410607447E-2</v>
      </c>
      <c r="T482" s="73">
        <f t="shared" si="339"/>
        <v>6.4099209464227647E-2</v>
      </c>
      <c r="U482" s="73">
        <f t="shared" si="339"/>
        <v>-9.6901699656420037E-2</v>
      </c>
      <c r="V482" s="24">
        <f t="shared" si="339"/>
        <v>4.4017057499888157E-2</v>
      </c>
      <c r="W482" s="73">
        <f t="shared" si="339"/>
        <v>-0.17962487353101408</v>
      </c>
      <c r="X482" s="73">
        <f t="shared" si="339"/>
        <v>-0.15754917887896569</v>
      </c>
      <c r="Y482" s="73">
        <f t="shared" si="339"/>
        <v>-0.38518341890149843</v>
      </c>
      <c r="Z482" s="73">
        <v>5.8666083092049348E-3</v>
      </c>
      <c r="AA482" s="24">
        <v>-0.18533018674887791</v>
      </c>
      <c r="AB482" s="73">
        <f t="shared" ref="AB482:AE482" si="340">AB480/W480-1</f>
        <v>4.8554993057412288E-2</v>
      </c>
      <c r="AC482" s="73">
        <f t="shared" si="340"/>
        <v>0.10108508852563847</v>
      </c>
      <c r="AD482" s="73">
        <f t="shared" si="340"/>
        <v>0.52499727302476096</v>
      </c>
      <c r="AE482" s="73">
        <f t="shared" si="340"/>
        <v>0.12131076207291858</v>
      </c>
      <c r="AF482" s="24">
        <v>0.1721170107667318</v>
      </c>
      <c r="AG482" s="73">
        <v>-7.0578462095228667E-2</v>
      </c>
      <c r="AH482" s="73">
        <v>-3.8121251168319659E-2</v>
      </c>
      <c r="AI482" s="73">
        <v>-0.19730421375550355</v>
      </c>
      <c r="AJ482" s="73">
        <v>-8.7999999999999995E-2</v>
      </c>
      <c r="AK482" s="24">
        <v>-0.10100000000000001</v>
      </c>
      <c r="AL482" s="73">
        <v>0.31858407079646023</v>
      </c>
      <c r="AM482" s="73">
        <v>0</v>
      </c>
      <c r="AN482" s="73">
        <v>0.43564356435643559</v>
      </c>
      <c r="AO482" s="73">
        <v>-0.13934426229508201</v>
      </c>
      <c r="AP482" s="24">
        <v>0.14253393665158365</v>
      </c>
      <c r="AQ482" s="73">
        <v>6.0402684563758413E-2</v>
      </c>
      <c r="AR482" s="73">
        <v>3.7735849056603765E-2</v>
      </c>
      <c r="AS482" s="73">
        <v>6.2068965517241281E-2</v>
      </c>
      <c r="AT482" s="73">
        <v>0.97142857142857153</v>
      </c>
      <c r="AU482" s="24">
        <v>0.24554455445544554</v>
      </c>
      <c r="AV482" s="73">
        <v>-0.67721518987341778</v>
      </c>
      <c r="AW482" s="73">
        <v>0.53636363636363638</v>
      </c>
      <c r="AX482" s="73">
        <v>-0.25324675324675328</v>
      </c>
      <c r="AY482" s="73">
        <v>-0.54106280193236711</v>
      </c>
      <c r="AZ482" s="24">
        <v>-0.31637519872813991</v>
      </c>
      <c r="BA482" s="73">
        <v>0.68627450980392157</v>
      </c>
      <c r="BB482" s="73">
        <v>-0.6449704142011834</v>
      </c>
      <c r="BC482" s="73">
        <v>-0.70434782608695645</v>
      </c>
      <c r="BD482" s="73">
        <v>-0.51578947368421058</v>
      </c>
      <c r="BE482" s="24">
        <v>-0.47441860465116281</v>
      </c>
    </row>
    <row r="483" spans="1:57" hidden="1">
      <c r="A483" s="69" t="s">
        <v>49</v>
      </c>
      <c r="B483" s="37">
        <v>299</v>
      </c>
      <c r="C483" s="70">
        <v>70</v>
      </c>
      <c r="D483" s="70">
        <v>52</v>
      </c>
      <c r="E483" s="70">
        <v>77</v>
      </c>
      <c r="F483" s="70">
        <f>G483-E483-D483-C483</f>
        <v>66</v>
      </c>
      <c r="G483" s="37">
        <v>265</v>
      </c>
      <c r="H483" s="70">
        <v>20</v>
      </c>
      <c r="I483" s="70">
        <v>71</v>
      </c>
      <c r="J483" s="70">
        <v>101</v>
      </c>
      <c r="K483" s="70">
        <f>L483-J483-I483-H483</f>
        <v>78</v>
      </c>
      <c r="L483" s="37">
        <v>270</v>
      </c>
      <c r="M483" s="70">
        <v>66</v>
      </c>
      <c r="N483" s="70">
        <v>79</v>
      </c>
      <c r="O483" s="70">
        <v>82</v>
      </c>
      <c r="P483" s="70">
        <f>Q483-O483-N483-M483</f>
        <v>68.427000000000021</v>
      </c>
      <c r="Q483" s="37">
        <f>235.103+60.324</f>
        <v>295.42700000000002</v>
      </c>
      <c r="R483" s="70">
        <v>79</v>
      </c>
      <c r="S483" s="70">
        <v>75</v>
      </c>
      <c r="T483" s="70">
        <v>68</v>
      </c>
      <c r="U483" s="70">
        <f>V483-T483-S483-R483</f>
        <v>69</v>
      </c>
      <c r="V483" s="37">
        <f>79+75+68+69</f>
        <v>291</v>
      </c>
      <c r="W483" s="70">
        <v>60</v>
      </c>
      <c r="X483" s="70">
        <v>88</v>
      </c>
      <c r="Y483" s="70">
        <v>102</v>
      </c>
      <c r="Z483" s="70">
        <f>AA483-Y483-X483-W483</f>
        <v>74</v>
      </c>
      <c r="AA483" s="37">
        <v>324</v>
      </c>
      <c r="AB483" s="70">
        <v>71</v>
      </c>
      <c r="AC483" s="70">
        <v>76</v>
      </c>
      <c r="AD483" s="70">
        <v>98</v>
      </c>
      <c r="AE483" s="70">
        <f>AF483-AD483-AC483-AB483</f>
        <v>82</v>
      </c>
      <c r="AF483" s="37">
        <v>327</v>
      </c>
      <c r="AG483" s="70">
        <v>87</v>
      </c>
      <c r="AH483" s="70">
        <v>70</v>
      </c>
      <c r="AI483" s="70">
        <v>78</v>
      </c>
      <c r="AJ483" s="70">
        <v>97</v>
      </c>
      <c r="AK483" s="37">
        <v>332</v>
      </c>
      <c r="AL483" s="70">
        <v>80</v>
      </c>
      <c r="AM483" s="70">
        <v>61</v>
      </c>
      <c r="AN483" s="70">
        <v>73</v>
      </c>
      <c r="AO483" s="70">
        <v>67</v>
      </c>
      <c r="AP483" s="37">
        <v>281</v>
      </c>
      <c r="AQ483" s="70">
        <v>72</v>
      </c>
      <c r="AR483" s="70">
        <v>43</v>
      </c>
      <c r="AS483" s="70">
        <v>45</v>
      </c>
      <c r="AT483" s="70"/>
      <c r="AU483" s="37"/>
      <c r="AV483" s="70">
        <v>72</v>
      </c>
      <c r="AW483" s="70">
        <v>72</v>
      </c>
      <c r="AX483" s="70">
        <v>72</v>
      </c>
      <c r="AY483" s="70"/>
      <c r="AZ483" s="37"/>
      <c r="BA483" s="70">
        <v>72</v>
      </c>
      <c r="BB483" s="70">
        <v>72</v>
      </c>
      <c r="BC483" s="70">
        <v>72</v>
      </c>
      <c r="BD483" s="70"/>
      <c r="BE483" s="37"/>
    </row>
    <row r="484" spans="1:57" hidden="1">
      <c r="A484" s="71" t="s">
        <v>7</v>
      </c>
      <c r="B484" s="24"/>
      <c r="C484" s="72"/>
      <c r="D484" s="72">
        <f>D483/C483-1</f>
        <v>-0.25714285714285712</v>
      </c>
      <c r="E484" s="72">
        <f>E483/D483-1</f>
        <v>0.48076923076923084</v>
      </c>
      <c r="F484" s="72">
        <f>F483/E483-1</f>
        <v>-0.1428571428571429</v>
      </c>
      <c r="G484" s="24"/>
      <c r="H484" s="72">
        <f>H483/F483-1</f>
        <v>-0.69696969696969702</v>
      </c>
      <c r="I484" s="72">
        <f>I483/H483-1</f>
        <v>2.5499999999999998</v>
      </c>
      <c r="J484" s="72">
        <f>J483/I483-1</f>
        <v>0.42253521126760574</v>
      </c>
      <c r="K484" s="72">
        <f>K483/J483-1</f>
        <v>-0.2277227722772277</v>
      </c>
      <c r="L484" s="24"/>
      <c r="M484" s="72">
        <f>M483/K483-1</f>
        <v>-0.15384615384615385</v>
      </c>
      <c r="N484" s="72">
        <f>N483/M483-1</f>
        <v>0.19696969696969702</v>
      </c>
      <c r="O484" s="72">
        <f>O483/N483-1</f>
        <v>3.7974683544303778E-2</v>
      </c>
      <c r="P484" s="72">
        <f>P483/O483-1</f>
        <v>-0.1655243902439022</v>
      </c>
      <c r="Q484" s="24"/>
      <c r="R484" s="72">
        <f>R483/P483-1</f>
        <v>0.15451503061656924</v>
      </c>
      <c r="S484" s="72">
        <f>S483/R483-1</f>
        <v>-5.0632911392405111E-2</v>
      </c>
      <c r="T484" s="72">
        <f>T483/S483-1</f>
        <v>-9.3333333333333379E-2</v>
      </c>
      <c r="U484" s="72">
        <f>U483/T483-1</f>
        <v>1.4705882352941124E-2</v>
      </c>
      <c r="V484" s="24"/>
      <c r="W484" s="72">
        <f>W483/U483-1</f>
        <v>-0.13043478260869568</v>
      </c>
      <c r="X484" s="72">
        <f>X483/W483-1</f>
        <v>0.46666666666666656</v>
      </c>
      <c r="Y484" s="72">
        <f>Y483/X483-1</f>
        <v>0.15909090909090917</v>
      </c>
      <c r="Z484" s="72">
        <v>-0.27450980392156865</v>
      </c>
      <c r="AA484" s="24"/>
      <c r="AB484" s="72">
        <f>AB483/Z483-1</f>
        <v>-4.0540540540540571E-2</v>
      </c>
      <c r="AC484" s="72">
        <f>AC483/AB483-1</f>
        <v>7.0422535211267512E-2</v>
      </c>
      <c r="AD484" s="72">
        <f>AD483/AC483-1</f>
        <v>0.28947368421052633</v>
      </c>
      <c r="AE484" s="72">
        <f>AE483/AD483-1</f>
        <v>-0.16326530612244894</v>
      </c>
      <c r="AF484" s="24"/>
      <c r="AG484" s="72">
        <v>6.0975609756097615E-2</v>
      </c>
      <c r="AH484" s="72">
        <v>-0.1954022988505747</v>
      </c>
      <c r="AI484" s="72">
        <v>0.11428571428571432</v>
      </c>
      <c r="AJ484" s="72">
        <v>0.24358974358974361</v>
      </c>
      <c r="AK484" s="24"/>
      <c r="AL484" s="72">
        <v>-0.17525773195876293</v>
      </c>
      <c r="AM484" s="72">
        <v>-0.23750000000000004</v>
      </c>
      <c r="AN484" s="72">
        <v>0.19672131147540983</v>
      </c>
      <c r="AO484" s="72">
        <v>-8.2191780821917804E-2</v>
      </c>
      <c r="AP484" s="24"/>
      <c r="AQ484" s="72">
        <v>7.4626865671641784E-2</v>
      </c>
      <c r="AR484" s="72">
        <v>-0.40277777777777779</v>
      </c>
      <c r="AS484" s="72">
        <v>4.6511627906976827E-2</v>
      </c>
      <c r="AT484" s="72"/>
      <c r="AU484" s="24"/>
      <c r="AV484" s="72" t="e">
        <v>#DIV/0!</v>
      </c>
      <c r="AW484" s="72" t="e">
        <v>#DIV/0!</v>
      </c>
      <c r="AX484" s="72">
        <v>0</v>
      </c>
      <c r="AY484" s="72"/>
      <c r="AZ484" s="24"/>
      <c r="BA484" s="72" t="e">
        <v>#DIV/0!</v>
      </c>
      <c r="BB484" s="72" t="e">
        <v>#DIV/0!</v>
      </c>
      <c r="BC484" s="72">
        <v>0</v>
      </c>
      <c r="BD484" s="72"/>
      <c r="BE484" s="24"/>
    </row>
    <row r="485" spans="1:57" hidden="1">
      <c r="A485" s="71" t="s">
        <v>8</v>
      </c>
      <c r="B485" s="24"/>
      <c r="C485" s="73"/>
      <c r="D485" s="73"/>
      <c r="E485" s="73"/>
      <c r="F485" s="73"/>
      <c r="G485" s="24">
        <f t="shared" ref="G485:N485" si="341">G483/B483-1</f>
        <v>-0.11371237458193983</v>
      </c>
      <c r="H485" s="73">
        <f t="shared" si="341"/>
        <v>-0.7142857142857143</v>
      </c>
      <c r="I485" s="73">
        <f t="shared" si="341"/>
        <v>0.36538461538461542</v>
      </c>
      <c r="J485" s="73">
        <f t="shared" si="341"/>
        <v>0.31168831168831179</v>
      </c>
      <c r="K485" s="73">
        <f t="shared" si="341"/>
        <v>0.18181818181818188</v>
      </c>
      <c r="L485" s="24">
        <f t="shared" si="341"/>
        <v>1.8867924528301883E-2</v>
      </c>
      <c r="M485" s="73">
        <f t="shared" si="341"/>
        <v>2.2999999999999998</v>
      </c>
      <c r="N485" s="73">
        <f t="shared" si="341"/>
        <v>0.11267605633802824</v>
      </c>
      <c r="O485" s="73">
        <f t="shared" ref="O485:Y485" si="342">O483/J483-1</f>
        <v>-0.18811881188118806</v>
      </c>
      <c r="P485" s="73">
        <f t="shared" si="342"/>
        <v>-0.12273076923076898</v>
      </c>
      <c r="Q485" s="24">
        <f t="shared" si="342"/>
        <v>9.4174074074074188E-2</v>
      </c>
      <c r="R485" s="73">
        <f t="shared" si="342"/>
        <v>0.19696969696969702</v>
      </c>
      <c r="S485" s="73">
        <f t="shared" si="342"/>
        <v>-5.0632911392405111E-2</v>
      </c>
      <c r="T485" s="73">
        <f t="shared" si="342"/>
        <v>-0.17073170731707321</v>
      </c>
      <c r="U485" s="73">
        <f t="shared" si="342"/>
        <v>8.3738875005476832E-3</v>
      </c>
      <c r="V485" s="24">
        <f t="shared" si="342"/>
        <v>-1.4985089379102146E-2</v>
      </c>
      <c r="W485" s="73">
        <f t="shared" si="342"/>
        <v>-0.240506329113924</v>
      </c>
      <c r="X485" s="73">
        <f t="shared" si="342"/>
        <v>0.17333333333333334</v>
      </c>
      <c r="Y485" s="73">
        <f t="shared" si="342"/>
        <v>0.5</v>
      </c>
      <c r="Z485" s="73">
        <v>7.2463768115942129E-2</v>
      </c>
      <c r="AA485" s="24">
        <v>0.11340206185567014</v>
      </c>
      <c r="AB485" s="73">
        <f t="shared" ref="AB485:AE485" si="343">AB483/W483-1</f>
        <v>0.18333333333333335</v>
      </c>
      <c r="AC485" s="73">
        <f t="shared" si="343"/>
        <v>-0.13636363636363635</v>
      </c>
      <c r="AD485" s="73">
        <f t="shared" si="343"/>
        <v>-3.9215686274509776E-2</v>
      </c>
      <c r="AE485" s="73">
        <f t="shared" si="343"/>
        <v>0.10810810810810811</v>
      </c>
      <c r="AF485" s="24">
        <v>9.2592592592593004E-3</v>
      </c>
      <c r="AG485" s="73">
        <v>0.22535211267605626</v>
      </c>
      <c r="AH485" s="73">
        <v>-7.8947368421052655E-2</v>
      </c>
      <c r="AI485" s="73">
        <v>-0.20408163265306123</v>
      </c>
      <c r="AJ485" s="73">
        <v>0.18292682926829262</v>
      </c>
      <c r="AK485" s="24">
        <v>1.5290519877675823E-2</v>
      </c>
      <c r="AL485" s="73">
        <v>-8.0459770114942541E-2</v>
      </c>
      <c r="AM485" s="73">
        <v>-0.12857142857142856</v>
      </c>
      <c r="AN485" s="73">
        <v>-6.4102564102564097E-2</v>
      </c>
      <c r="AO485" s="73">
        <v>-0.30927835051546393</v>
      </c>
      <c r="AP485" s="24">
        <v>-0.15361445783132532</v>
      </c>
      <c r="AQ485" s="73">
        <v>-9.9999999999999978E-2</v>
      </c>
      <c r="AR485" s="73">
        <v>-0.29508196721311475</v>
      </c>
      <c r="AS485" s="73">
        <v>-0.38356164383561642</v>
      </c>
      <c r="AT485" s="73"/>
      <c r="AU485" s="24"/>
      <c r="AV485" s="73">
        <v>0</v>
      </c>
      <c r="AW485" s="73">
        <v>0.67441860465116288</v>
      </c>
      <c r="AX485" s="73">
        <v>0.60000000000000009</v>
      </c>
      <c r="AY485" s="73"/>
      <c r="AZ485" s="24"/>
      <c r="BA485" s="73">
        <v>0</v>
      </c>
      <c r="BB485" s="73">
        <v>0</v>
      </c>
      <c r="BC485" s="73">
        <v>0</v>
      </c>
      <c r="BD485" s="73"/>
      <c r="BE485" s="24"/>
    </row>
    <row r="486" spans="1:57">
      <c r="A486" s="69" t="s">
        <v>50</v>
      </c>
      <c r="B486" s="37">
        <f>223.607+11.995+18.948</f>
        <v>254.55</v>
      </c>
      <c r="C486" s="70">
        <v>79.400000000000006</v>
      </c>
      <c r="D486" s="70">
        <f>28.849+2.175+8.53</f>
        <v>39.554000000000002</v>
      </c>
      <c r="E486" s="70">
        <f>55.85</f>
        <v>55.85</v>
      </c>
      <c r="F486" s="70">
        <f>G486-E486-D486-C486</f>
        <v>62.736999999999995</v>
      </c>
      <c r="G486" s="37">
        <f>198.208+12.643+26.69</f>
        <v>237.541</v>
      </c>
      <c r="H486" s="70">
        <f>52.092+2.389+6.955</f>
        <v>61.436</v>
      </c>
      <c r="I486" s="70">
        <v>59.911999999999999</v>
      </c>
      <c r="J486" s="70">
        <f>72.635+5.449+9.304</f>
        <v>87.388000000000005</v>
      </c>
      <c r="K486" s="70">
        <f>L486-J486-I486-H486</f>
        <v>52.824999999999967</v>
      </c>
      <c r="L486" s="37">
        <f>214.368+9.262+37.931</f>
        <v>261.56099999999998</v>
      </c>
      <c r="M486" s="70">
        <f>48.421+3.632+8.981</f>
        <v>61.033999999999999</v>
      </c>
      <c r="N486" s="70">
        <f>50.599+4.089+8.547</f>
        <v>63.234999999999999</v>
      </c>
      <c r="O486" s="70">
        <f>52.441+2.5+9.771</f>
        <v>64.712000000000003</v>
      </c>
      <c r="P486" s="70">
        <f>Q486-O486-N486-M486</f>
        <v>89.399999999999977</v>
      </c>
      <c r="Q486" s="37">
        <f>226.728+14.897+36.756</f>
        <v>278.38099999999997</v>
      </c>
      <c r="R486" s="70">
        <f>57.453+3.813+9.85</f>
        <v>71.116</v>
      </c>
      <c r="S486" s="70">
        <f>47.551+7.177+9.667</f>
        <v>64.394999999999996</v>
      </c>
      <c r="T486" s="70">
        <f>51.634+6.428+9.274</f>
        <v>67.335999999999999</v>
      </c>
      <c r="U486" s="70">
        <v>62</v>
      </c>
      <c r="V486" s="37">
        <f>207.741+32.181+24.414</f>
        <v>264.33600000000001</v>
      </c>
      <c r="W486" s="70">
        <f>48.463+7.914</f>
        <v>56.377000000000002</v>
      </c>
      <c r="X486" s="70">
        <f>55.722+13.527</f>
        <v>69.248999999999995</v>
      </c>
      <c r="Y486" s="70">
        <f>75.056+11.515</f>
        <v>86.570999999999998</v>
      </c>
      <c r="Z486" s="70">
        <f>AA486-Y486-X486-W486</f>
        <v>72.019999999999982</v>
      </c>
      <c r="AA486" s="37">
        <f>240.686+43.531</f>
        <v>284.21699999999998</v>
      </c>
      <c r="AB486" s="70">
        <f>75.656+13.99</f>
        <v>89.646000000000001</v>
      </c>
      <c r="AC486" s="70">
        <f>68.451+16.277</f>
        <v>84.727999999999994</v>
      </c>
      <c r="AD486" s="70">
        <f>46.951+19.847</f>
        <v>66.798000000000002</v>
      </c>
      <c r="AE486" s="70">
        <f>AF486-AD486-AC486-AB486</f>
        <v>81.827999999999989</v>
      </c>
      <c r="AF486" s="37">
        <v>323</v>
      </c>
      <c r="AG486" s="70">
        <v>78</v>
      </c>
      <c r="AH486" s="70">
        <v>68</v>
      </c>
      <c r="AI486" s="70">
        <v>64</v>
      </c>
      <c r="AJ486" s="70">
        <v>95</v>
      </c>
      <c r="AK486" s="37">
        <v>305</v>
      </c>
      <c r="AL486" s="70">
        <v>65</v>
      </c>
      <c r="AM486" s="70">
        <v>82</v>
      </c>
      <c r="AN486" s="70">
        <v>75</v>
      </c>
      <c r="AO486" s="70">
        <v>43</v>
      </c>
      <c r="AP486" s="37">
        <v>265</v>
      </c>
      <c r="AQ486" s="70">
        <v>59</v>
      </c>
      <c r="AR486" s="70">
        <v>58</v>
      </c>
      <c r="AS486" s="70">
        <v>51</v>
      </c>
      <c r="AT486" s="70">
        <v>41</v>
      </c>
      <c r="AU486" s="37">
        <v>209</v>
      </c>
      <c r="AV486" s="70">
        <v>60</v>
      </c>
      <c r="AW486" s="70">
        <v>53</v>
      </c>
      <c r="AX486" s="70">
        <v>69</v>
      </c>
      <c r="AY486" s="70">
        <v>53</v>
      </c>
      <c r="AZ486" s="37">
        <v>235</v>
      </c>
      <c r="BA486" s="70">
        <v>62</v>
      </c>
      <c r="BB486" s="70">
        <v>75</v>
      </c>
      <c r="BC486" s="70">
        <v>79</v>
      </c>
      <c r="BD486" s="70">
        <v>82</v>
      </c>
      <c r="BE486" s="37">
        <v>298</v>
      </c>
    </row>
    <row r="487" spans="1:57">
      <c r="A487" s="71" t="s">
        <v>7</v>
      </c>
      <c r="B487" s="24"/>
      <c r="C487" s="72"/>
      <c r="D487" s="72">
        <f>D486/C486-1</f>
        <v>-0.50183879093198991</v>
      </c>
      <c r="E487" s="72">
        <f>E486/D486-1</f>
        <v>0.41199373009050921</v>
      </c>
      <c r="F487" s="72">
        <f>F486/E486-1</f>
        <v>0.12331244404655317</v>
      </c>
      <c r="G487" s="24"/>
      <c r="H487" s="72">
        <f>H486/F486-1</f>
        <v>-2.0737363916030316E-2</v>
      </c>
      <c r="I487" s="72">
        <f>I486/H486-1</f>
        <v>-2.4806302493651899E-2</v>
      </c>
      <c r="J487" s="72">
        <f>J486/I486-1</f>
        <v>0.45860595540125537</v>
      </c>
      <c r="K487" s="72">
        <f>K486/J486-1</f>
        <v>-0.39551196960681145</v>
      </c>
      <c r="L487" s="24"/>
      <c r="M487" s="72">
        <f>M486/K486-1</f>
        <v>0.15539990534784742</v>
      </c>
      <c r="N487" s="72">
        <f>N486/M486-1</f>
        <v>3.606186715601134E-2</v>
      </c>
      <c r="O487" s="72">
        <f>O486/N486-1</f>
        <v>2.3357317941013811E-2</v>
      </c>
      <c r="P487" s="72">
        <f>P486/O486-1</f>
        <v>0.3815057485474096</v>
      </c>
      <c r="Q487" s="24"/>
      <c r="R487" s="72">
        <f>R486/P486-1</f>
        <v>-0.20451901565995501</v>
      </c>
      <c r="S487" s="72">
        <f>S486/R486-1</f>
        <v>-9.4507565104899105E-2</v>
      </c>
      <c r="T487" s="72">
        <f>T486/S486-1</f>
        <v>4.5671247767683942E-2</v>
      </c>
      <c r="U487" s="72">
        <f>U486/T486-1</f>
        <v>-7.9244386360936225E-2</v>
      </c>
      <c r="V487" s="24"/>
      <c r="W487" s="72">
        <f>W486/U486-1</f>
        <v>-9.0693548387096756E-2</v>
      </c>
      <c r="X487" s="72">
        <f>X486/W486-1</f>
        <v>0.22832005959877244</v>
      </c>
      <c r="Y487" s="72">
        <f>Y486/X486-1</f>
        <v>0.25014079625698571</v>
      </c>
      <c r="Z487" s="72">
        <v>-0.16807013896108447</v>
      </c>
      <c r="AA487" s="24"/>
      <c r="AB487" s="72">
        <f>AB486/Z486-1</f>
        <v>0.24473757289641807</v>
      </c>
      <c r="AC487" s="72">
        <f>AC486/AB486-1</f>
        <v>-5.4860228007942435E-2</v>
      </c>
      <c r="AD487" s="72">
        <f>AD486/AC486-1</f>
        <v>-0.21161835520725136</v>
      </c>
      <c r="AE487" s="72">
        <f>AE486/AD486-1</f>
        <v>0.22500673672864435</v>
      </c>
      <c r="AF487" s="24"/>
      <c r="AG487" s="72">
        <v>-4.678105294031365E-2</v>
      </c>
      <c r="AH487" s="72">
        <v>-0.12820512820512819</v>
      </c>
      <c r="AI487" s="72">
        <v>-5.8823529411764719E-2</v>
      </c>
      <c r="AJ487" s="72">
        <v>0.484375</v>
      </c>
      <c r="AK487" s="24"/>
      <c r="AL487" s="72">
        <v>-0.31578947368421051</v>
      </c>
      <c r="AM487" s="72">
        <v>0.2615384615384615</v>
      </c>
      <c r="AN487" s="72">
        <v>-8.536585365853655E-2</v>
      </c>
      <c r="AO487" s="72">
        <v>-0.42666666666666664</v>
      </c>
      <c r="AP487" s="24"/>
      <c r="AQ487" s="72">
        <v>0.37209302325581395</v>
      </c>
      <c r="AR487" s="72">
        <v>-1.6949152542372836E-2</v>
      </c>
      <c r="AS487" s="72">
        <v>-0.12068965517241381</v>
      </c>
      <c r="AT487" s="72">
        <v>-0.19607843137254899</v>
      </c>
      <c r="AU487" s="24"/>
      <c r="AV487" s="72">
        <v>0.46341463414634143</v>
      </c>
      <c r="AW487" s="72">
        <v>-0.1166666666666667</v>
      </c>
      <c r="AX487" s="72">
        <v>0.30188679245283012</v>
      </c>
      <c r="AY487" s="72">
        <v>-0.23188405797101452</v>
      </c>
      <c r="AZ487" s="24"/>
      <c r="BA487" s="72">
        <v>0.16981132075471694</v>
      </c>
      <c r="BB487" s="72">
        <v>0.20967741935483875</v>
      </c>
      <c r="BC487" s="72">
        <v>5.3333333333333233E-2</v>
      </c>
      <c r="BD487" s="72">
        <v>3.7974683544303778E-2</v>
      </c>
      <c r="BE487" s="24"/>
    </row>
    <row r="488" spans="1:57">
      <c r="A488" s="71" t="s">
        <v>8</v>
      </c>
      <c r="B488" s="24"/>
      <c r="C488" s="73"/>
      <c r="D488" s="73"/>
      <c r="E488" s="73"/>
      <c r="F488" s="73"/>
      <c r="G488" s="24">
        <f t="shared" ref="G488:N488" si="344">G486/B486-1</f>
        <v>-6.6819878216460515E-2</v>
      </c>
      <c r="H488" s="73">
        <f t="shared" si="344"/>
        <v>-0.22624685138539047</v>
      </c>
      <c r="I488" s="73">
        <f t="shared" si="344"/>
        <v>0.51468877989583839</v>
      </c>
      <c r="J488" s="73">
        <f t="shared" si="344"/>
        <v>0.56469113697403772</v>
      </c>
      <c r="K488" s="73">
        <f t="shared" si="344"/>
        <v>-0.1579928909574897</v>
      </c>
      <c r="L488" s="24">
        <f t="shared" si="344"/>
        <v>0.10111938570604639</v>
      </c>
      <c r="M488" s="73">
        <f t="shared" si="344"/>
        <v>-6.5433947522625102E-3</v>
      </c>
      <c r="N488" s="73">
        <f t="shared" si="344"/>
        <v>5.546468153291495E-2</v>
      </c>
      <c r="O488" s="73">
        <f t="shared" ref="O488:Y488" si="345">O486/J486-1</f>
        <v>-0.25948642834256419</v>
      </c>
      <c r="P488" s="73">
        <f t="shared" si="345"/>
        <v>0.69238050165641329</v>
      </c>
      <c r="Q488" s="24">
        <f t="shared" si="345"/>
        <v>6.4306223022545295E-2</v>
      </c>
      <c r="R488" s="73">
        <f t="shared" si="345"/>
        <v>0.16518661729527806</v>
      </c>
      <c r="S488" s="73">
        <f t="shared" si="345"/>
        <v>1.834427136870409E-2</v>
      </c>
      <c r="T488" s="73">
        <f t="shared" si="345"/>
        <v>4.0548893559154253E-2</v>
      </c>
      <c r="U488" s="73">
        <f t="shared" si="345"/>
        <v>-0.30648769574944057</v>
      </c>
      <c r="V488" s="24">
        <f t="shared" si="345"/>
        <v>-5.0452437486753654E-2</v>
      </c>
      <c r="W488" s="73">
        <f t="shared" si="345"/>
        <v>-0.20725293886045326</v>
      </c>
      <c r="X488" s="73">
        <f t="shared" si="345"/>
        <v>7.5378523177265233E-2</v>
      </c>
      <c r="Y488" s="73">
        <f t="shared" si="345"/>
        <v>0.28565700368302238</v>
      </c>
      <c r="Z488" s="73">
        <v>0.17128266844476148</v>
      </c>
      <c r="AA488" s="24">
        <v>7.5211094970037973E-2</v>
      </c>
      <c r="AB488" s="73">
        <f t="shared" ref="AB488:AE488" si="346">AB486/W486-1</f>
        <v>0.59011653688560939</v>
      </c>
      <c r="AC488" s="73">
        <f t="shared" si="346"/>
        <v>0.22352669352626031</v>
      </c>
      <c r="AD488" s="73">
        <f t="shared" si="346"/>
        <v>-0.22840212080257816</v>
      </c>
      <c r="AE488" s="73">
        <f t="shared" si="346"/>
        <v>0.13618439322410447</v>
      </c>
      <c r="AF488" s="24">
        <v>0.13645559554847186</v>
      </c>
      <c r="AG488" s="73">
        <v>-0.12991098320058903</v>
      </c>
      <c r="AH488" s="73">
        <v>-0.1974317817014446</v>
      </c>
      <c r="AI488" s="73">
        <v>-4.1887481661127657E-2</v>
      </c>
      <c r="AJ488" s="73">
        <v>0.16097179449577181</v>
      </c>
      <c r="AK488" s="24">
        <v>-5.5727554179566541E-2</v>
      </c>
      <c r="AL488" s="73">
        <v>-0.16666666666666663</v>
      </c>
      <c r="AM488" s="73">
        <v>0.20588235294117641</v>
      </c>
      <c r="AN488" s="73">
        <v>0.171875</v>
      </c>
      <c r="AO488" s="73">
        <v>-0.5473684210526315</v>
      </c>
      <c r="AP488" s="24">
        <v>-0.13114754098360659</v>
      </c>
      <c r="AQ488" s="73">
        <v>-9.2307692307692313E-2</v>
      </c>
      <c r="AR488" s="73">
        <v>-0.29268292682926833</v>
      </c>
      <c r="AS488" s="73">
        <v>-0.31999999999999995</v>
      </c>
      <c r="AT488" s="73">
        <v>-4.6511627906976716E-2</v>
      </c>
      <c r="AU488" s="24">
        <v>-0.21132075471698109</v>
      </c>
      <c r="AV488" s="73">
        <v>1.6949152542372836E-2</v>
      </c>
      <c r="AW488" s="73">
        <v>-8.6206896551724088E-2</v>
      </c>
      <c r="AX488" s="73">
        <v>0.35294117647058831</v>
      </c>
      <c r="AY488" s="73">
        <v>0.29268292682926833</v>
      </c>
      <c r="AZ488" s="24">
        <v>0.12440191387559807</v>
      </c>
      <c r="BA488" s="73">
        <v>3.3333333333333437E-2</v>
      </c>
      <c r="BB488" s="73">
        <v>0.41509433962264142</v>
      </c>
      <c r="BC488" s="73">
        <v>0.14492753623188404</v>
      </c>
      <c r="BD488" s="73">
        <v>0.54716981132075482</v>
      </c>
      <c r="BE488" s="24">
        <v>0.26808510638297878</v>
      </c>
    </row>
    <row r="489" spans="1:57" s="36" customFormat="1">
      <c r="A489" s="69" t="s">
        <v>51</v>
      </c>
      <c r="B489" s="37">
        <f>B486</f>
        <v>254.55</v>
      </c>
      <c r="C489" s="70">
        <v>79.400000000000006</v>
      </c>
      <c r="D489" s="70">
        <f>28.849+2.175+8.53</f>
        <v>39.554000000000002</v>
      </c>
      <c r="E489" s="70">
        <f>E486</f>
        <v>55.85</v>
      </c>
      <c r="F489" s="70">
        <f>G489-E489-D489-C489</f>
        <v>62.736999999999995</v>
      </c>
      <c r="G489" s="37">
        <f>G486</f>
        <v>237.541</v>
      </c>
      <c r="H489" s="70">
        <f>H486</f>
        <v>61.436</v>
      </c>
      <c r="I489" s="70">
        <v>59.911999999999999</v>
      </c>
      <c r="J489" s="70">
        <f>J486-0.578</f>
        <v>86.81</v>
      </c>
      <c r="K489" s="70">
        <f>L489-J489-I489-H489</f>
        <v>52.453999999999958</v>
      </c>
      <c r="L489" s="37">
        <f>L486-0.949</f>
        <v>260.61199999999997</v>
      </c>
      <c r="M489" s="70">
        <f>M486-0.184</f>
        <v>60.85</v>
      </c>
      <c r="N489" s="70">
        <f>N486-0.253</f>
        <v>62.981999999999999</v>
      </c>
      <c r="O489" s="70">
        <f>O486-1.056</f>
        <v>63.656000000000006</v>
      </c>
      <c r="P489" s="70">
        <f>Q489-O489-N489-M489</f>
        <v>89.303999999999974</v>
      </c>
      <c r="Q489" s="37">
        <f>Q486-1.589</f>
        <v>276.79199999999997</v>
      </c>
      <c r="R489" s="70">
        <f>R486-0.129</f>
        <v>70.986999999999995</v>
      </c>
      <c r="S489" s="70">
        <f>S486-0.069</f>
        <v>64.325999999999993</v>
      </c>
      <c r="T489" s="70">
        <f>T486-0.156</f>
        <v>67.179999999999993</v>
      </c>
      <c r="U489" s="70">
        <v>62</v>
      </c>
      <c r="V489" s="37">
        <f>V486-0.747</f>
        <v>263.589</v>
      </c>
      <c r="W489" s="70">
        <f>W486-0.109</f>
        <v>56.268000000000001</v>
      </c>
      <c r="X489" s="70">
        <f>X486-0.063</f>
        <v>69.185999999999993</v>
      </c>
      <c r="Y489" s="70">
        <f>Y486-0.052</f>
        <v>86.518999999999991</v>
      </c>
      <c r="Z489" s="70">
        <f>AA489-Y489-X489-W489</f>
        <v>71.772999999999996</v>
      </c>
      <c r="AA489" s="37">
        <f>AA486-0.471</f>
        <v>283.74599999999998</v>
      </c>
      <c r="AB489" s="70">
        <f>AB486-0.035</f>
        <v>89.611000000000004</v>
      </c>
      <c r="AC489" s="70">
        <f>AC486-0.082</f>
        <v>84.646000000000001</v>
      </c>
      <c r="AD489" s="70">
        <f>AD486-0.212</f>
        <v>66.585999999999999</v>
      </c>
      <c r="AE489" s="70">
        <f>AF489-AD489-AC489-AB489</f>
        <v>82.156999999999968</v>
      </c>
      <c r="AF489" s="37">
        <v>323</v>
      </c>
      <c r="AG489" s="70">
        <v>78</v>
      </c>
      <c r="AH489" s="70">
        <v>68</v>
      </c>
      <c r="AI489" s="70">
        <v>64</v>
      </c>
      <c r="AJ489" s="70">
        <v>95</v>
      </c>
      <c r="AK489" s="37">
        <v>305</v>
      </c>
      <c r="AL489" s="70">
        <v>65</v>
      </c>
      <c r="AM489" s="70">
        <v>82</v>
      </c>
      <c r="AN489" s="70">
        <v>75</v>
      </c>
      <c r="AO489" s="70">
        <v>43</v>
      </c>
      <c r="AP489" s="37">
        <v>265</v>
      </c>
      <c r="AQ489" s="70">
        <v>59</v>
      </c>
      <c r="AR489" s="70">
        <v>58</v>
      </c>
      <c r="AS489" s="70">
        <v>50</v>
      </c>
      <c r="AT489" s="70">
        <v>41</v>
      </c>
      <c r="AU489" s="37">
        <v>208</v>
      </c>
      <c r="AV489" s="70">
        <v>60</v>
      </c>
      <c r="AW489" s="70">
        <v>52</v>
      </c>
      <c r="AX489" s="70">
        <v>69</v>
      </c>
      <c r="AY489" s="70">
        <v>53</v>
      </c>
      <c r="AZ489" s="37">
        <v>234</v>
      </c>
      <c r="BA489" s="70">
        <v>62</v>
      </c>
      <c r="BB489" s="70">
        <v>75</v>
      </c>
      <c r="BC489" s="70">
        <v>79</v>
      </c>
      <c r="BD489" s="70">
        <v>81</v>
      </c>
      <c r="BE489" s="37">
        <v>297</v>
      </c>
    </row>
    <row r="490" spans="1:57">
      <c r="A490" s="71" t="s">
        <v>7</v>
      </c>
      <c r="B490" s="24"/>
      <c r="C490" s="72"/>
      <c r="D490" s="72">
        <f>D489/C489-1</f>
        <v>-0.50183879093198991</v>
      </c>
      <c r="E490" s="72">
        <f>E489/D489-1</f>
        <v>0.41199373009050921</v>
      </c>
      <c r="F490" s="72">
        <f>F489/E489-1</f>
        <v>0.12331244404655317</v>
      </c>
      <c r="G490" s="24"/>
      <c r="H490" s="72">
        <f>H489/F489-1</f>
        <v>-2.0737363916030316E-2</v>
      </c>
      <c r="I490" s="72">
        <f>I489/H489-1</f>
        <v>-2.4806302493651899E-2</v>
      </c>
      <c r="J490" s="72">
        <f>J489/I489-1</f>
        <v>0.44895847242622522</v>
      </c>
      <c r="K490" s="72">
        <f>K489/J489-1</f>
        <v>-0.3957608570441199</v>
      </c>
      <c r="L490" s="24"/>
      <c r="M490" s="72">
        <f>M489/K489-1</f>
        <v>0.16006405612536789</v>
      </c>
      <c r="N490" s="72">
        <f>N489/M489-1</f>
        <v>3.5036976170911949E-2</v>
      </c>
      <c r="O490" s="72">
        <f>O489/N489-1</f>
        <v>1.0701470261344603E-2</v>
      </c>
      <c r="P490" s="72">
        <f>P489/O489-1</f>
        <v>0.40291567173557818</v>
      </c>
      <c r="Q490" s="24"/>
      <c r="R490" s="72">
        <f>R489/P489-1</f>
        <v>-0.20510839380094936</v>
      </c>
      <c r="S490" s="72">
        <f>S489/R489-1</f>
        <v>-9.3834082296758603E-2</v>
      </c>
      <c r="T490" s="72">
        <f>T489/S489-1</f>
        <v>4.4367751764449848E-2</v>
      </c>
      <c r="U490" s="72">
        <f>U489/T489-1</f>
        <v>-7.7106281631437845E-2</v>
      </c>
      <c r="V490" s="24"/>
      <c r="W490" s="72">
        <f>W489/U489-1</f>
        <v>-9.2451612903225788E-2</v>
      </c>
      <c r="X490" s="72">
        <f>X489/W489-1</f>
        <v>0.22957986777564487</v>
      </c>
      <c r="Y490" s="72">
        <f>Y489/X489-1</f>
        <v>0.25052756337987447</v>
      </c>
      <c r="Z490" s="72">
        <v>-0.17042499335406114</v>
      </c>
      <c r="AA490" s="24"/>
      <c r="AB490" s="72">
        <f>AB489/Z489-1</f>
        <v>0.24853357112005914</v>
      </c>
      <c r="AC490" s="72">
        <f>AC489/AB489-1</f>
        <v>-5.540614433495894E-2</v>
      </c>
      <c r="AD490" s="72">
        <f>AD489/AC489-1</f>
        <v>-0.21335916641069874</v>
      </c>
      <c r="AE490" s="72">
        <f>AE489/AD489-1</f>
        <v>0.23384795602679187</v>
      </c>
      <c r="AF490" s="24"/>
      <c r="AG490" s="72">
        <v>-5.0598244823934269E-2</v>
      </c>
      <c r="AH490" s="72">
        <v>-0.12820512820512819</v>
      </c>
      <c r="AI490" s="72">
        <v>-5.8823529411764719E-2</v>
      </c>
      <c r="AJ490" s="72">
        <v>0.484375</v>
      </c>
      <c r="AK490" s="24"/>
      <c r="AL490" s="72">
        <v>-0.31578947368421051</v>
      </c>
      <c r="AM490" s="72">
        <v>0.2615384615384615</v>
      </c>
      <c r="AN490" s="72">
        <v>-8.536585365853655E-2</v>
      </c>
      <c r="AO490" s="72">
        <v>-0.42666666666666664</v>
      </c>
      <c r="AP490" s="24"/>
      <c r="AQ490" s="72">
        <v>0.37209302325581395</v>
      </c>
      <c r="AR490" s="72">
        <v>-1.6949152542372836E-2</v>
      </c>
      <c r="AS490" s="72">
        <v>-0.13793103448275867</v>
      </c>
      <c r="AT490" s="72">
        <v>-0.18000000000000005</v>
      </c>
      <c r="AU490" s="24"/>
      <c r="AV490" s="72">
        <v>0.46341463414634143</v>
      </c>
      <c r="AW490" s="72">
        <v>-0.1333333333333333</v>
      </c>
      <c r="AX490" s="72">
        <v>0.32692307692307687</v>
      </c>
      <c r="AY490" s="72">
        <v>-0.23188405797101452</v>
      </c>
      <c r="AZ490" s="24"/>
      <c r="BA490" s="72">
        <v>0.16981132075471694</v>
      </c>
      <c r="BB490" s="72">
        <v>0.20967741935483875</v>
      </c>
      <c r="BC490" s="72">
        <v>5.3333333333333233E-2</v>
      </c>
      <c r="BD490" s="72">
        <v>2.5316455696202445E-2</v>
      </c>
      <c r="BE490" s="24"/>
    </row>
    <row r="491" spans="1:57">
      <c r="A491" s="71" t="s">
        <v>8</v>
      </c>
      <c r="B491" s="24"/>
      <c r="C491" s="73"/>
      <c r="D491" s="73"/>
      <c r="E491" s="73"/>
      <c r="F491" s="73"/>
      <c r="G491" s="24">
        <f t="shared" ref="G491:N491" si="347">G489/B489-1</f>
        <v>-6.6819878216460515E-2</v>
      </c>
      <c r="H491" s="73">
        <f t="shared" si="347"/>
        <v>-0.22624685138539047</v>
      </c>
      <c r="I491" s="73">
        <f t="shared" si="347"/>
        <v>0.51468877989583839</v>
      </c>
      <c r="J491" s="73">
        <f t="shared" si="347"/>
        <v>0.55434198746642793</v>
      </c>
      <c r="K491" s="73">
        <f t="shared" si="347"/>
        <v>-0.16390646667835629</v>
      </c>
      <c r="L491" s="24">
        <f t="shared" si="347"/>
        <v>9.7124285912747466E-2</v>
      </c>
      <c r="M491" s="73">
        <f t="shared" si="347"/>
        <v>-9.5383814050393756E-3</v>
      </c>
      <c r="N491" s="73">
        <f t="shared" si="347"/>
        <v>5.1241821337962401E-2</v>
      </c>
      <c r="O491" s="73">
        <f t="shared" ref="O491:Y491" si="348">O489/J489-1</f>
        <v>-0.26672042391429551</v>
      </c>
      <c r="P491" s="73">
        <f t="shared" si="348"/>
        <v>0.7025203035040235</v>
      </c>
      <c r="Q491" s="24">
        <f t="shared" si="348"/>
        <v>6.2084631559559789E-2</v>
      </c>
      <c r="R491" s="73">
        <f t="shared" si="348"/>
        <v>0.16658997534921927</v>
      </c>
      <c r="S491" s="73">
        <f t="shared" si="348"/>
        <v>2.1339430313422891E-2</v>
      </c>
      <c r="T491" s="73">
        <f t="shared" si="348"/>
        <v>5.5360060324242566E-2</v>
      </c>
      <c r="U491" s="73">
        <f t="shared" si="348"/>
        <v>-0.3057421840007164</v>
      </c>
      <c r="V491" s="24">
        <f t="shared" si="348"/>
        <v>-4.7700078036937432E-2</v>
      </c>
      <c r="W491" s="73">
        <f t="shared" si="348"/>
        <v>-0.20734782424951037</v>
      </c>
      <c r="X491" s="73">
        <f t="shared" si="348"/>
        <v>7.5552653670366565E-2</v>
      </c>
      <c r="Y491" s="73">
        <f t="shared" si="348"/>
        <v>0.28786841321821965</v>
      </c>
      <c r="Z491" s="73">
        <v>0.17477412596569275</v>
      </c>
      <c r="AA491" s="24">
        <v>7.6471324675915886E-2</v>
      </c>
      <c r="AB491" s="73">
        <f t="shared" ref="AB491:AE491" si="349">AB489/W489-1</f>
        <v>0.59257482050188393</v>
      </c>
      <c r="AC491" s="73">
        <f t="shared" si="349"/>
        <v>0.22345561240713452</v>
      </c>
      <c r="AD491" s="73">
        <f t="shared" si="349"/>
        <v>-0.23038870074781259</v>
      </c>
      <c r="AE491" s="73">
        <f t="shared" si="349"/>
        <v>0.14467836094352982</v>
      </c>
      <c r="AF491" s="24">
        <v>0.13834203830186165</v>
      </c>
      <c r="AG491" s="73">
        <v>-0.12957114639943756</v>
      </c>
      <c r="AH491" s="73">
        <v>-0.19665430144365947</v>
      </c>
      <c r="AI491" s="73">
        <v>-3.8836992761241085E-2</v>
      </c>
      <c r="AJ491" s="73">
        <v>0.15632265053495176</v>
      </c>
      <c r="AK491" s="24">
        <v>-5.5727554179566541E-2</v>
      </c>
      <c r="AL491" s="73">
        <v>-0.16666666666666663</v>
      </c>
      <c r="AM491" s="73">
        <v>0.20588235294117641</v>
      </c>
      <c r="AN491" s="73">
        <v>0.171875</v>
      </c>
      <c r="AO491" s="73">
        <v>-0.5473684210526315</v>
      </c>
      <c r="AP491" s="24">
        <v>-0.13114754098360659</v>
      </c>
      <c r="AQ491" s="73">
        <v>-9.2307692307692313E-2</v>
      </c>
      <c r="AR491" s="73">
        <v>-0.29268292682926833</v>
      </c>
      <c r="AS491" s="73">
        <v>-0.33333333333333337</v>
      </c>
      <c r="AT491" s="73">
        <v>-4.6511627906976716E-2</v>
      </c>
      <c r="AU491" s="24">
        <v>-0.21509433962264146</v>
      </c>
      <c r="AV491" s="73">
        <v>1.6949152542372836E-2</v>
      </c>
      <c r="AW491" s="73">
        <v>-0.10344827586206895</v>
      </c>
      <c r="AX491" s="73">
        <v>0.37999999999999989</v>
      </c>
      <c r="AY491" s="73">
        <v>0.29268292682926833</v>
      </c>
      <c r="AZ491" s="24">
        <v>0.125</v>
      </c>
      <c r="BA491" s="73">
        <v>3.3333333333333437E-2</v>
      </c>
      <c r="BB491" s="73">
        <v>0.44230769230769229</v>
      </c>
      <c r="BC491" s="73">
        <v>0.14492753623188404</v>
      </c>
      <c r="BD491" s="73">
        <v>0.52830188679245293</v>
      </c>
      <c r="BE491" s="24">
        <v>0.26923076923076916</v>
      </c>
    </row>
    <row r="492" spans="1:57">
      <c r="A492" s="69" t="s">
        <v>261</v>
      </c>
      <c r="B492" s="24"/>
      <c r="C492" s="73"/>
      <c r="D492" s="73"/>
      <c r="E492" s="73"/>
      <c r="F492" s="73"/>
      <c r="G492" s="24"/>
      <c r="H492" s="73"/>
      <c r="I492" s="73"/>
      <c r="J492" s="73"/>
      <c r="K492" s="73"/>
      <c r="L492" s="24"/>
      <c r="M492" s="73"/>
      <c r="N492" s="73"/>
      <c r="O492" s="73"/>
      <c r="P492" s="73"/>
      <c r="Q492" s="24"/>
      <c r="R492" s="73"/>
      <c r="S492" s="73"/>
      <c r="T492" s="73"/>
      <c r="U492" s="73"/>
      <c r="V492" s="24"/>
      <c r="W492" s="73"/>
      <c r="X492" s="73"/>
      <c r="Y492" s="73"/>
      <c r="Z492" s="73"/>
      <c r="AA492" s="24"/>
      <c r="AB492" s="73"/>
      <c r="AC492" s="73"/>
      <c r="AD492" s="73"/>
      <c r="AE492" s="73"/>
      <c r="AF492" s="24"/>
      <c r="AG492" s="73"/>
      <c r="AH492" s="73"/>
      <c r="AI492" s="73"/>
      <c r="AJ492" s="73"/>
      <c r="AK492" s="24"/>
      <c r="AL492" s="73"/>
      <c r="AM492" s="73"/>
      <c r="AN492" s="73"/>
      <c r="AO492" s="73"/>
      <c r="AP492" s="24"/>
      <c r="AQ492" s="73"/>
      <c r="AR492" s="73"/>
      <c r="AS492" s="73"/>
      <c r="AT492" s="73"/>
      <c r="AU492" s="24"/>
      <c r="AV492" s="73"/>
      <c r="AW492" s="73"/>
      <c r="AX492" s="73"/>
      <c r="AY492" s="73"/>
      <c r="AZ492" s="24"/>
      <c r="BA492" s="70">
        <v>8</v>
      </c>
      <c r="BB492" s="70">
        <v>8</v>
      </c>
      <c r="BC492" s="70">
        <v>9</v>
      </c>
      <c r="BD492" s="70">
        <v>6</v>
      </c>
      <c r="BE492" s="37">
        <v>31</v>
      </c>
    </row>
    <row r="493" spans="1:57" ht="5.25" customHeight="1">
      <c r="A493" s="71"/>
      <c r="B493" s="24"/>
      <c r="C493" s="73"/>
      <c r="D493" s="73"/>
      <c r="E493" s="73"/>
      <c r="F493" s="73"/>
      <c r="G493" s="24"/>
      <c r="H493" s="73"/>
      <c r="I493" s="73"/>
      <c r="J493" s="73"/>
      <c r="K493" s="73"/>
      <c r="L493" s="24"/>
      <c r="M493" s="73"/>
      <c r="N493" s="73"/>
      <c r="O493" s="73"/>
      <c r="P493" s="73"/>
      <c r="Q493" s="24"/>
      <c r="R493" s="73"/>
      <c r="S493" s="73"/>
      <c r="T493" s="73"/>
      <c r="U493" s="73"/>
      <c r="V493" s="24"/>
      <c r="W493" s="73"/>
      <c r="X493" s="73"/>
      <c r="Y493" s="73"/>
      <c r="Z493" s="73"/>
      <c r="AA493" s="24"/>
      <c r="AB493" s="73"/>
      <c r="AC493" s="73"/>
      <c r="AD493" s="73"/>
      <c r="AE493" s="73"/>
      <c r="AF493" s="24"/>
      <c r="AG493" s="73"/>
      <c r="AH493" s="73"/>
      <c r="AI493" s="73"/>
      <c r="AJ493" s="73"/>
      <c r="AK493" s="24"/>
      <c r="AL493" s="73"/>
      <c r="AM493" s="73"/>
      <c r="AN493" s="73"/>
      <c r="AO493" s="73"/>
      <c r="AP493" s="24"/>
      <c r="AQ493" s="73"/>
      <c r="AR493" s="73"/>
      <c r="AS493" s="73"/>
      <c r="AT493" s="73"/>
      <c r="AU493" s="24"/>
      <c r="AV493" s="73"/>
      <c r="AW493" s="73"/>
      <c r="AX493" s="73"/>
      <c r="AY493" s="73"/>
      <c r="AZ493" s="24"/>
      <c r="BA493" s="73"/>
      <c r="BB493" s="73"/>
      <c r="BC493" s="73"/>
      <c r="BD493" s="73"/>
      <c r="BE493" s="24"/>
    </row>
    <row r="494" spans="1:57" s="36" customFormat="1">
      <c r="A494" s="69" t="s">
        <v>13</v>
      </c>
      <c r="B494" s="178">
        <f>B480-B489</f>
        <v>-4.6750000000000114</v>
      </c>
      <c r="C494" s="186">
        <f>C480-C489</f>
        <v>4.6999999999999886</v>
      </c>
      <c r="D494" s="186">
        <f>D480-D489</f>
        <v>-7.1840000000000046</v>
      </c>
      <c r="E494" s="186">
        <f>E480-E489</f>
        <v>41.383000000000003</v>
      </c>
      <c r="F494" s="186">
        <f>G494-E494-D494-C494</f>
        <v>70.586999999999989</v>
      </c>
      <c r="G494" s="37">
        <f>G480-G489</f>
        <v>109.48599999999999</v>
      </c>
      <c r="H494" s="77">
        <f>H480-H489</f>
        <v>29.249000000000002</v>
      </c>
      <c r="I494" s="77">
        <f>I480-I489</f>
        <v>33.464000000000006</v>
      </c>
      <c r="J494" s="77">
        <f>J480-J489</f>
        <v>48.217999999999989</v>
      </c>
      <c r="K494" s="70">
        <f>L494-J494-I494-H494</f>
        <v>38.185000000000052</v>
      </c>
      <c r="L494" s="37">
        <f>L480-L489</f>
        <v>149.11600000000004</v>
      </c>
      <c r="M494" s="77">
        <f>M480-M489</f>
        <v>63.446000000000005</v>
      </c>
      <c r="N494" s="77">
        <f>N480-N489</f>
        <v>46.563000000000002</v>
      </c>
      <c r="O494" s="77">
        <f>O480-O489</f>
        <v>62.460999999999999</v>
      </c>
      <c r="P494" s="70">
        <f>Q494-O494-N494-M494</f>
        <v>42.252000000000017</v>
      </c>
      <c r="Q494" s="37">
        <f>Q480-Q489</f>
        <v>214.72200000000004</v>
      </c>
      <c r="R494" s="77">
        <f>R480-R489</f>
        <v>70.352000000000004</v>
      </c>
      <c r="S494" s="77">
        <f>S480-S489</f>
        <v>54.475000000000009</v>
      </c>
      <c r="T494" s="77">
        <f>T480-T489</f>
        <v>67.021000000000001</v>
      </c>
      <c r="U494" s="70">
        <v>57</v>
      </c>
      <c r="V494" s="37">
        <f>V480-V489</f>
        <v>249.56</v>
      </c>
      <c r="W494" s="186">
        <f>W480-W489</f>
        <v>59.682999999999993</v>
      </c>
      <c r="X494" s="186">
        <f>X480-X489</f>
        <v>30.89800000000001</v>
      </c>
      <c r="Y494" s="186">
        <f>Y480-Y489</f>
        <v>-4.0099999999999909</v>
      </c>
      <c r="Z494" s="186">
        <f>AA494-Y494-X494-W494</f>
        <v>47.730000000000032</v>
      </c>
      <c r="AA494" s="37">
        <v>134.30100000000004</v>
      </c>
      <c r="AB494" s="77">
        <f>AB480-AB489</f>
        <v>31.97</v>
      </c>
      <c r="AC494" s="77">
        <f>AC480-AC489</f>
        <v>25.554999999999993</v>
      </c>
      <c r="AD494" s="77">
        <f>AD480-AD489</f>
        <v>59.239999999999995</v>
      </c>
      <c r="AE494" s="70">
        <f>AF494-AD494-AC494-AB494</f>
        <v>50.235000000000014</v>
      </c>
      <c r="AF494" s="37">
        <v>167</v>
      </c>
      <c r="AG494" s="77">
        <v>35</v>
      </c>
      <c r="AH494" s="77">
        <v>38</v>
      </c>
      <c r="AI494" s="77">
        <v>37</v>
      </c>
      <c r="AJ494" s="70">
        <v>27</v>
      </c>
      <c r="AK494" s="37">
        <v>137</v>
      </c>
      <c r="AL494" s="77">
        <v>84</v>
      </c>
      <c r="AM494" s="77">
        <v>24</v>
      </c>
      <c r="AN494" s="77">
        <v>70</v>
      </c>
      <c r="AO494" s="70">
        <v>62</v>
      </c>
      <c r="AP494" s="37">
        <v>240</v>
      </c>
      <c r="AQ494" s="77">
        <v>99</v>
      </c>
      <c r="AR494" s="77">
        <v>52</v>
      </c>
      <c r="AS494" s="77">
        <v>104</v>
      </c>
      <c r="AT494" s="70">
        <v>166</v>
      </c>
      <c r="AU494" s="37">
        <v>421</v>
      </c>
      <c r="AV494" s="186">
        <v>-9</v>
      </c>
      <c r="AW494" s="77">
        <v>117</v>
      </c>
      <c r="AX494" s="77">
        <v>46</v>
      </c>
      <c r="AY494" s="70">
        <v>42</v>
      </c>
      <c r="AZ494" s="37">
        <v>196</v>
      </c>
      <c r="BA494" s="186">
        <v>16</v>
      </c>
      <c r="BB494" s="186">
        <v>-23</v>
      </c>
      <c r="BC494" s="186">
        <v>-54</v>
      </c>
      <c r="BD494" s="186">
        <v>-41</v>
      </c>
      <c r="BE494" s="178">
        <v>-102</v>
      </c>
    </row>
    <row r="495" spans="1:57">
      <c r="A495" s="71" t="s">
        <v>7</v>
      </c>
      <c r="B495" s="24"/>
      <c r="C495" s="72"/>
      <c r="D495" s="85" t="s">
        <v>48</v>
      </c>
      <c r="E495" s="85" t="s">
        <v>48</v>
      </c>
      <c r="F495" s="72">
        <f>F494/E494-1</f>
        <v>0.7057004083802525</v>
      </c>
      <c r="G495" s="24"/>
      <c r="H495" s="72">
        <f>H494/F494-1</f>
        <v>-0.58563191522518299</v>
      </c>
      <c r="I495" s="72">
        <f>I494/H494-1</f>
        <v>0.14410749085438823</v>
      </c>
      <c r="J495" s="72">
        <f>J494/I494-1</f>
        <v>0.44089170451828785</v>
      </c>
      <c r="K495" s="72">
        <f>K494/J494-1</f>
        <v>-0.20807582230702104</v>
      </c>
      <c r="L495" s="24"/>
      <c r="M495" s="72">
        <f>M494/K494-1</f>
        <v>0.6615424905067413</v>
      </c>
      <c r="N495" s="72">
        <f>N494/M494-1</f>
        <v>-0.26610030577183752</v>
      </c>
      <c r="O495" s="72">
        <f>O494/N494-1</f>
        <v>0.34142989068573759</v>
      </c>
      <c r="P495" s="72">
        <f>P494/O494-1</f>
        <v>-0.32354589263700517</v>
      </c>
      <c r="Q495" s="24"/>
      <c r="R495" s="72">
        <f>R494/P494-1</f>
        <v>0.66505727539524706</v>
      </c>
      <c r="S495" s="72">
        <f>S494/R494-1</f>
        <v>-0.22567944052763245</v>
      </c>
      <c r="T495" s="72">
        <f>T494/S494-1</f>
        <v>0.23030748049563998</v>
      </c>
      <c r="U495" s="72">
        <f>U494/T494-1</f>
        <v>-0.14952029960758573</v>
      </c>
      <c r="V495" s="24"/>
      <c r="W495" s="72">
        <f>W494/U494-1</f>
        <v>4.7070175438596262E-2</v>
      </c>
      <c r="X495" s="72">
        <f>X494/W494-1</f>
        <v>-0.48229814184943764</v>
      </c>
      <c r="Y495" s="85" t="s">
        <v>43</v>
      </c>
      <c r="Z495" s="85" t="s">
        <v>43</v>
      </c>
      <c r="AA495" s="24"/>
      <c r="AB495" s="72">
        <f>AB494/Z494-1</f>
        <v>-0.33019065577205164</v>
      </c>
      <c r="AC495" s="72">
        <f>AC494/AB494-1</f>
        <v>-0.20065686581169861</v>
      </c>
      <c r="AD495" s="72">
        <f>AD494/AC494-1</f>
        <v>1.3181373508119747</v>
      </c>
      <c r="AE495" s="72">
        <f>AE494/AD494-1</f>
        <v>-0.15200877785280187</v>
      </c>
      <c r="AF495" s="24"/>
      <c r="AG495" s="72">
        <v>-0.30327460933612038</v>
      </c>
      <c r="AH495" s="72">
        <v>8.5714285714285632E-2</v>
      </c>
      <c r="AI495" s="72">
        <v>-2.6315789473684181E-2</v>
      </c>
      <c r="AJ495" s="72">
        <v>-0.27027027027027029</v>
      </c>
      <c r="AK495" s="24"/>
      <c r="AL495" s="72">
        <v>2.1111111111111112</v>
      </c>
      <c r="AM495" s="72">
        <v>-0.7142857142857143</v>
      </c>
      <c r="AN495" s="72">
        <v>1.9166666666666665</v>
      </c>
      <c r="AO495" s="72">
        <v>-0.11428571428571432</v>
      </c>
      <c r="AP495" s="24"/>
      <c r="AQ495" s="72">
        <v>0.59677419354838701</v>
      </c>
      <c r="AR495" s="72">
        <v>-0.4747474747474747</v>
      </c>
      <c r="AS495" s="72">
        <v>1</v>
      </c>
      <c r="AT495" s="72">
        <v>0.59615384615384626</v>
      </c>
      <c r="AU495" s="24"/>
      <c r="AV495" s="85" t="s">
        <v>43</v>
      </c>
      <c r="AW495" s="85" t="s">
        <v>43</v>
      </c>
      <c r="AX495" s="72">
        <v>-0.6068376068376069</v>
      </c>
      <c r="AY495" s="72">
        <v>-8.6956521739130488E-2</v>
      </c>
      <c r="AZ495" s="24"/>
      <c r="BA495" s="72">
        <v>-0.61904761904761907</v>
      </c>
      <c r="BB495" s="85" t="s">
        <v>43</v>
      </c>
      <c r="BC495" s="72">
        <v>1.347826086956522</v>
      </c>
      <c r="BD495" s="72">
        <v>-0.2407407407407407</v>
      </c>
      <c r="BE495" s="24"/>
    </row>
    <row r="496" spans="1:57">
      <c r="A496" s="71" t="s">
        <v>8</v>
      </c>
      <c r="B496" s="24"/>
      <c r="C496" s="73"/>
      <c r="D496" s="73"/>
      <c r="E496" s="73"/>
      <c r="F496" s="73"/>
      <c r="G496" s="92" t="s">
        <v>48</v>
      </c>
      <c r="H496" s="73">
        <f>H494/C494-1</f>
        <v>5.2231914893617173</v>
      </c>
      <c r="I496" s="85" t="s">
        <v>48</v>
      </c>
      <c r="J496" s="73">
        <f t="shared" ref="J496:R496" si="350">J494/E494-1</f>
        <v>0.16516443950414383</v>
      </c>
      <c r="K496" s="73">
        <f t="shared" si="350"/>
        <v>-0.45903636646974577</v>
      </c>
      <c r="L496" s="24">
        <f t="shared" si="350"/>
        <v>0.36196408673255087</v>
      </c>
      <c r="M496" s="73">
        <f t="shared" si="350"/>
        <v>1.1691681766898014</v>
      </c>
      <c r="N496" s="73">
        <f t="shared" si="350"/>
        <v>0.39143557255558203</v>
      </c>
      <c r="O496" s="73">
        <f t="shared" si="350"/>
        <v>0.29538761458376572</v>
      </c>
      <c r="P496" s="73">
        <f t="shared" si="350"/>
        <v>0.10650779101741414</v>
      </c>
      <c r="Q496" s="24">
        <f t="shared" si="350"/>
        <v>0.43996620081010751</v>
      </c>
      <c r="R496" s="73">
        <f t="shared" si="350"/>
        <v>0.1088484695646692</v>
      </c>
      <c r="S496" s="73">
        <f t="shared" ref="S496:X496" si="351">S494/N494-1</f>
        <v>0.16992032300324311</v>
      </c>
      <c r="T496" s="73">
        <f t="shared" si="351"/>
        <v>7.3005555466611138E-2</v>
      </c>
      <c r="U496" s="73">
        <f t="shared" si="351"/>
        <v>0.3490485657483664</v>
      </c>
      <c r="V496" s="24">
        <f t="shared" si="351"/>
        <v>0.16224699844450008</v>
      </c>
      <c r="W496" s="73">
        <f t="shared" si="351"/>
        <v>-0.15165169433704817</v>
      </c>
      <c r="X496" s="73">
        <f t="shared" si="351"/>
        <v>-0.43280403854979344</v>
      </c>
      <c r="Y496" s="85" t="s">
        <v>43</v>
      </c>
      <c r="Z496" s="73">
        <v>-0.17294496811754778</v>
      </c>
      <c r="AA496" s="24">
        <v>-0.4618488539830099</v>
      </c>
      <c r="AB496" s="73">
        <f>AB494/W494-1</f>
        <v>-0.46433657825511443</v>
      </c>
      <c r="AC496" s="73">
        <f>AC494/X494-1</f>
        <v>-0.17292381383908395</v>
      </c>
      <c r="AD496" s="85" t="s">
        <v>43</v>
      </c>
      <c r="AE496" s="73">
        <f>AE494/Z494-1</f>
        <v>5.2482715273412417E-2</v>
      </c>
      <c r="AF496" s="24">
        <v>0.24347547672764858</v>
      </c>
      <c r="AG496" s="73">
        <v>9.4776352830778787E-2</v>
      </c>
      <c r="AH496" s="73">
        <v>0.48698884758364347</v>
      </c>
      <c r="AI496" s="73">
        <v>-0.37542201215394999</v>
      </c>
      <c r="AJ496" s="73">
        <v>-0.47899999999999998</v>
      </c>
      <c r="AK496" s="24">
        <v>-0.17799999999999999</v>
      </c>
      <c r="AL496" s="73">
        <v>1.4</v>
      </c>
      <c r="AM496" s="73">
        <v>-0.36842105263157898</v>
      </c>
      <c r="AN496" s="73">
        <v>0.89189189189189189</v>
      </c>
      <c r="AO496" s="73">
        <v>1.2962962962962963</v>
      </c>
      <c r="AP496" s="24">
        <v>0.75182481751824826</v>
      </c>
      <c r="AQ496" s="73">
        <v>0.1785714285714286</v>
      </c>
      <c r="AR496" s="73">
        <v>1.1666666666666665</v>
      </c>
      <c r="AS496" s="73">
        <v>0.48571428571428577</v>
      </c>
      <c r="AT496" s="73">
        <v>1.6774193548387095</v>
      </c>
      <c r="AU496" s="24">
        <v>0.75416666666666665</v>
      </c>
      <c r="AV496" s="85" t="s">
        <v>43</v>
      </c>
      <c r="AW496" s="73">
        <v>1.25</v>
      </c>
      <c r="AX496" s="73">
        <v>-0.55769230769230771</v>
      </c>
      <c r="AY496" s="73">
        <v>-0.74698795180722888</v>
      </c>
      <c r="AZ496" s="24">
        <v>-0.53444180522565321</v>
      </c>
      <c r="BA496" s="83" t="s">
        <v>43</v>
      </c>
      <c r="BB496" s="85" t="s">
        <v>43</v>
      </c>
      <c r="BC496" s="85" t="s">
        <v>43</v>
      </c>
      <c r="BD496" s="85" t="s">
        <v>43</v>
      </c>
      <c r="BE496" s="92" t="s">
        <v>43</v>
      </c>
    </row>
    <row r="497" spans="1:57">
      <c r="A497" s="71"/>
      <c r="B497" s="24"/>
      <c r="C497" s="73"/>
      <c r="D497" s="73"/>
      <c r="E497" s="73"/>
      <c r="F497" s="73"/>
      <c r="G497" s="24"/>
      <c r="H497" s="73"/>
      <c r="I497" s="73"/>
      <c r="J497" s="73"/>
      <c r="K497" s="73"/>
      <c r="L497" s="24"/>
      <c r="M497" s="73"/>
      <c r="N497" s="73"/>
      <c r="O497" s="73"/>
      <c r="P497" s="73"/>
      <c r="Q497" s="24"/>
      <c r="R497" s="73"/>
      <c r="S497" s="73"/>
      <c r="T497" s="73"/>
      <c r="U497" s="73"/>
      <c r="V497" s="24"/>
      <c r="W497" s="73"/>
      <c r="X497" s="73"/>
      <c r="Y497" s="73"/>
      <c r="Z497" s="73"/>
      <c r="AA497" s="24"/>
      <c r="AB497" s="73"/>
      <c r="AC497" s="73"/>
      <c r="AD497" s="73"/>
      <c r="AE497" s="73"/>
      <c r="AF497" s="24"/>
      <c r="AG497" s="73"/>
      <c r="AH497" s="73"/>
      <c r="AI497" s="73"/>
      <c r="AJ497" s="73"/>
      <c r="AK497" s="24"/>
      <c r="AL497" s="73"/>
      <c r="AM497" s="73"/>
      <c r="AN497" s="73"/>
      <c r="AO497" s="73"/>
      <c r="AP497" s="24"/>
      <c r="AQ497" s="73"/>
      <c r="AR497" s="73"/>
      <c r="AS497" s="73"/>
      <c r="AT497" s="73"/>
      <c r="AU497" s="24"/>
      <c r="AV497" s="73"/>
      <c r="AW497" s="73"/>
      <c r="AX497" s="73"/>
      <c r="AY497" s="73"/>
      <c r="AZ497" s="24"/>
      <c r="BA497" s="73"/>
      <c r="BB497" s="73"/>
      <c r="BC497" s="73"/>
      <c r="BD497" s="73"/>
      <c r="BE497" s="24"/>
    </row>
    <row r="498" spans="1:57">
      <c r="A498" s="50" t="s">
        <v>20</v>
      </c>
      <c r="B498" s="40"/>
      <c r="C498" s="52"/>
      <c r="D498" s="52"/>
      <c r="E498" s="52"/>
      <c r="F498" s="52"/>
      <c r="G498" s="40"/>
      <c r="H498" s="52"/>
      <c r="I498" s="52"/>
      <c r="J498" s="52"/>
      <c r="K498" s="52"/>
      <c r="L498" s="40"/>
      <c r="M498" s="52"/>
      <c r="N498" s="52"/>
      <c r="O498" s="52"/>
      <c r="P498" s="52"/>
      <c r="Q498" s="40"/>
      <c r="R498" s="52"/>
      <c r="S498" s="52"/>
      <c r="T498" s="52"/>
      <c r="U498" s="52"/>
      <c r="V498" s="40"/>
      <c r="W498" s="52"/>
      <c r="X498" s="52"/>
      <c r="Y498" s="52"/>
      <c r="Z498" s="52"/>
      <c r="AA498" s="40"/>
      <c r="AB498" s="52"/>
      <c r="AC498" s="52"/>
      <c r="AD498" s="52"/>
      <c r="AE498" s="52"/>
      <c r="AF498" s="40"/>
      <c r="AG498" s="52"/>
      <c r="AH498" s="52"/>
      <c r="AI498" s="52"/>
      <c r="AJ498" s="52"/>
      <c r="AK498" s="40"/>
      <c r="AL498" s="52"/>
      <c r="AM498" s="52"/>
      <c r="AN498" s="52"/>
      <c r="AO498" s="52"/>
      <c r="AP498" s="40"/>
      <c r="AQ498" s="52"/>
      <c r="AR498" s="52"/>
      <c r="AS498" s="52"/>
      <c r="AT498" s="52"/>
      <c r="AU498" s="40"/>
      <c r="AV498" s="52"/>
      <c r="AW498" s="52"/>
      <c r="AX498" s="52"/>
      <c r="AY498" s="52"/>
      <c r="AZ498" s="40"/>
      <c r="BA498" s="52"/>
      <c r="BB498" s="52"/>
      <c r="BC498" s="52"/>
      <c r="BD498" s="52"/>
      <c r="BE498" s="40"/>
    </row>
    <row r="499" spans="1:57" s="36" customFormat="1">
      <c r="A499" s="36" t="s">
        <v>30</v>
      </c>
      <c r="B499" s="56">
        <f t="shared" ref="B499:AE499" si="352">B462/B434</f>
        <v>3.9580216041158502E-2</v>
      </c>
      <c r="C499" s="78">
        <f t="shared" si="352"/>
        <v>7.0400302075193641E-2</v>
      </c>
      <c r="D499" s="191">
        <f t="shared" si="352"/>
        <v>0.11201316222441593</v>
      </c>
      <c r="E499" s="191">
        <f t="shared" si="352"/>
        <v>0.13971211515393842</v>
      </c>
      <c r="F499" s="191">
        <f t="shared" si="352"/>
        <v>0.14707437972597645</v>
      </c>
      <c r="G499" s="56">
        <f t="shared" si="352"/>
        <v>0.11711242390746725</v>
      </c>
      <c r="H499" s="78">
        <f t="shared" si="352"/>
        <v>0.17184234799964565</v>
      </c>
      <c r="I499" s="78">
        <f t="shared" si="352"/>
        <v>0.15701758584198799</v>
      </c>
      <c r="J499" s="78">
        <f t="shared" si="352"/>
        <v>0.15944497451708631</v>
      </c>
      <c r="K499" s="78">
        <f t="shared" si="352"/>
        <v>0.16034698439390524</v>
      </c>
      <c r="L499" s="56">
        <f t="shared" si="352"/>
        <v>0.16218722128022425</v>
      </c>
      <c r="M499" s="78">
        <f t="shared" si="352"/>
        <v>0.14994532671122285</v>
      </c>
      <c r="N499" s="78">
        <f t="shared" si="352"/>
        <v>1.8398927129135972E-2</v>
      </c>
      <c r="O499" s="78">
        <f t="shared" si="352"/>
        <v>0.18146590210625099</v>
      </c>
      <c r="P499" s="78">
        <f t="shared" si="352"/>
        <v>0.10144670431262799</v>
      </c>
      <c r="Q499" s="56">
        <f t="shared" si="352"/>
        <v>0.11265122273252764</v>
      </c>
      <c r="R499" s="125">
        <f t="shared" si="352"/>
        <v>0.15132536062137836</v>
      </c>
      <c r="S499" s="125">
        <f t="shared" si="352"/>
        <v>0.16168184968808794</v>
      </c>
      <c r="T499" s="125">
        <f t="shared" si="352"/>
        <v>0.15627373800151922</v>
      </c>
      <c r="U499" s="125">
        <f t="shared" si="352"/>
        <v>0.26248603995235642</v>
      </c>
      <c r="V499" s="56">
        <f t="shared" si="352"/>
        <v>0.18215119881344866</v>
      </c>
      <c r="W499" s="125">
        <f t="shared" si="352"/>
        <v>0.12384090385501458</v>
      </c>
      <c r="X499" s="125">
        <f t="shared" si="352"/>
        <v>0.18224166446473483</v>
      </c>
      <c r="Y499" s="125">
        <f t="shared" si="352"/>
        <v>0.13406336909018673</v>
      </c>
      <c r="Z499" s="125">
        <f t="shared" si="352"/>
        <v>0.17817368661086022</v>
      </c>
      <c r="AA499" s="56">
        <f t="shared" si="352"/>
        <v>0.15449262038858333</v>
      </c>
      <c r="AB499" s="125">
        <f t="shared" si="352"/>
        <v>0.16709330650417181</v>
      </c>
      <c r="AC499" s="125">
        <f t="shared" si="352"/>
        <v>0.16735340729001585</v>
      </c>
      <c r="AD499" s="125">
        <f t="shared" si="352"/>
        <v>0.17649123491215413</v>
      </c>
      <c r="AE499" s="125">
        <f t="shared" si="352"/>
        <v>0.14267992748538572</v>
      </c>
      <c r="AF499" s="56">
        <v>0.1632811812017495</v>
      </c>
      <c r="AG499" s="125">
        <v>0.17216981132075471</v>
      </c>
      <c r="AH499" s="125">
        <v>0.15654205607476634</v>
      </c>
      <c r="AI499" s="125">
        <v>0.17592592592592593</v>
      </c>
      <c r="AJ499" s="125">
        <v>0.12954545454545455</v>
      </c>
      <c r="AK499" s="56">
        <v>0.15835266821345709</v>
      </c>
      <c r="AL499" s="125">
        <v>0.13409090909090909</v>
      </c>
      <c r="AM499" s="125">
        <v>0.15945330296127563</v>
      </c>
      <c r="AN499" s="125">
        <v>0.16591928251121077</v>
      </c>
      <c r="AO499" s="125">
        <v>0.10467706013363029</v>
      </c>
      <c r="AP499" s="56">
        <v>0.14092446448703494</v>
      </c>
      <c r="AQ499" s="125">
        <v>0.12984054669703873</v>
      </c>
      <c r="AR499" s="125">
        <v>0.17741935483870969</v>
      </c>
      <c r="AS499" s="125">
        <v>0.14285714285714285</v>
      </c>
      <c r="AT499" s="125">
        <v>0.15525114155251141</v>
      </c>
      <c r="AU499" s="56">
        <v>0.15128939828080229</v>
      </c>
      <c r="AV499" s="125">
        <v>0.12264150943396226</v>
      </c>
      <c r="AW499" s="125">
        <v>0.11778846153846154</v>
      </c>
      <c r="AX499" s="125">
        <v>8.6206896551724144E-2</v>
      </c>
      <c r="AY499" s="125">
        <v>6.6831683168316836E-2</v>
      </c>
      <c r="AZ499" s="56">
        <v>9.8787878787878786E-2</v>
      </c>
      <c r="BA499" s="191">
        <v>-2.6666666666666666E-3</v>
      </c>
      <c r="BB499" s="191">
        <v>-4.5333333333333337E-2</v>
      </c>
      <c r="BC499" s="125">
        <v>2.7247956403269754E-3</v>
      </c>
      <c r="BD499" s="191">
        <v>-3.1994382022471912</v>
      </c>
      <c r="BE499" s="190">
        <v>-0.78479293957909024</v>
      </c>
    </row>
    <row r="500" spans="1:57" s="36" customFormat="1">
      <c r="A500" s="69" t="s">
        <v>38</v>
      </c>
      <c r="B500" s="190">
        <f t="shared" ref="B500:Y500" si="353">B471/B434</f>
        <v>-8.3127005992975789E-2</v>
      </c>
      <c r="C500" s="191">
        <f t="shared" si="353"/>
        <v>-0.17245294497092001</v>
      </c>
      <c r="D500" s="191">
        <f t="shared" si="353"/>
        <v>-0.26145969068772623</v>
      </c>
      <c r="E500" s="191">
        <f t="shared" si="353"/>
        <v>-0.21891776622684259</v>
      </c>
      <c r="F500" s="191">
        <f t="shared" si="353"/>
        <v>-4.6485667583622402E-2</v>
      </c>
      <c r="G500" s="190">
        <f t="shared" si="353"/>
        <v>-0.17499695894308728</v>
      </c>
      <c r="H500" s="191">
        <f t="shared" si="353"/>
        <v>-3.0043097383410378E-3</v>
      </c>
      <c r="I500" s="191">
        <f t="shared" si="353"/>
        <v>-0.25300320661104286</v>
      </c>
      <c r="J500" s="191">
        <f t="shared" si="353"/>
        <v>-0.23250563147422398</v>
      </c>
      <c r="K500" s="191">
        <f t="shared" si="353"/>
        <v>-9.6615261571273356E-2</v>
      </c>
      <c r="L500" s="190">
        <f t="shared" si="353"/>
        <v>-0.14535344526229471</v>
      </c>
      <c r="M500" s="191">
        <f t="shared" si="353"/>
        <v>-2.1120751323400168E-2</v>
      </c>
      <c r="N500" s="191">
        <f t="shared" si="353"/>
        <v>-0.3606139205499726</v>
      </c>
      <c r="O500" s="191">
        <f t="shared" si="353"/>
        <v>-0.1981828621438888</v>
      </c>
      <c r="P500" s="191">
        <f t="shared" si="353"/>
        <v>-0.21047673779421319</v>
      </c>
      <c r="Q500" s="190">
        <f t="shared" si="353"/>
        <v>-0.19813826258899636</v>
      </c>
      <c r="R500" s="191">
        <f t="shared" si="353"/>
        <v>-0.18093453334977191</v>
      </c>
      <c r="S500" s="191">
        <f t="shared" si="353"/>
        <v>-0.2187444301415982</v>
      </c>
      <c r="T500" s="191">
        <f t="shared" si="353"/>
        <v>-0.18715410340643404</v>
      </c>
      <c r="U500" s="191">
        <f t="shared" si="353"/>
        <v>1.9835030000173431E-2</v>
      </c>
      <c r="V500" s="190">
        <f t="shared" si="353"/>
        <v>-0.14184316988600879</v>
      </c>
      <c r="W500" s="191">
        <f t="shared" si="353"/>
        <v>-0.15325506834587621</v>
      </c>
      <c r="X500" s="191">
        <f t="shared" si="353"/>
        <v>-0.26091424209506475</v>
      </c>
      <c r="Y500" s="191">
        <f t="shared" si="353"/>
        <v>-0.29467620182757248</v>
      </c>
      <c r="Z500" s="191">
        <v>-5.1831854805094196E-2</v>
      </c>
      <c r="AA500" s="190">
        <v>-0.18968101350004954</v>
      </c>
      <c r="AB500" s="191">
        <f t="shared" ref="AB500:AE500" si="354">AB471/AB434</f>
        <v>-0.15042089899167618</v>
      </c>
      <c r="AC500" s="191">
        <f t="shared" si="354"/>
        <v>-0.24994552297939782</v>
      </c>
      <c r="AD500" s="191">
        <f t="shared" si="354"/>
        <v>-0.33169861357564884</v>
      </c>
      <c r="AE500" s="191">
        <f t="shared" si="354"/>
        <v>-0.19869914337920991</v>
      </c>
      <c r="AF500" s="190">
        <v>-0.23280961047347876</v>
      </c>
      <c r="AG500" s="191">
        <v>-8.0188679245283015E-2</v>
      </c>
      <c r="AH500" s="191">
        <v>-0.26869158878504673</v>
      </c>
      <c r="AI500" s="191">
        <v>-0.19907407407407407</v>
      </c>
      <c r="AJ500" s="191">
        <v>-0.19772727272727272</v>
      </c>
      <c r="AK500" s="190">
        <v>-0.18677494199535963</v>
      </c>
      <c r="AL500" s="191">
        <v>-6.8181818181818179E-3</v>
      </c>
      <c r="AM500" s="191">
        <v>-0.37813211845102507</v>
      </c>
      <c r="AN500" s="191">
        <v>-0.16816143497757849</v>
      </c>
      <c r="AO500" s="191">
        <v>-0.24498886414253898</v>
      </c>
      <c r="AP500" s="190">
        <v>-0.19954904171364149</v>
      </c>
      <c r="AQ500" s="191">
        <v>-0.16173120728929385</v>
      </c>
      <c r="AR500" s="191">
        <v>-0.26267281105990781</v>
      </c>
      <c r="AS500" s="191">
        <v>-0.32718894009216593</v>
      </c>
      <c r="AT500" s="191">
        <v>0.90182648401826482</v>
      </c>
      <c r="AU500" s="190">
        <v>3.8968481375358167E-2</v>
      </c>
      <c r="AV500" s="191">
        <v>4.4811320754716978E-2</v>
      </c>
      <c r="AW500" s="191">
        <v>-0.36298076923076922</v>
      </c>
      <c r="AX500" s="191">
        <v>-0.30295566502463056</v>
      </c>
      <c r="AY500" s="191">
        <v>2.7227722772277228E-2</v>
      </c>
      <c r="AZ500" s="190">
        <v>-0.14787878787878789</v>
      </c>
      <c r="BA500" s="191">
        <v>2.6666666666666666E-3</v>
      </c>
      <c r="BB500" s="191">
        <v>0</v>
      </c>
      <c r="BC500" s="191">
        <v>-5.4495912806539508E-3</v>
      </c>
      <c r="BD500" s="191">
        <v>-3.1938202247191012</v>
      </c>
      <c r="BE500" s="190">
        <v>-0.77936184657162255</v>
      </c>
    </row>
    <row r="501" spans="1:57" s="36" customFormat="1">
      <c r="A501" s="69" t="s">
        <v>10</v>
      </c>
      <c r="B501" s="56">
        <f t="shared" ref="B501:Y501" si="355">B474/B434</f>
        <v>0.2326799889456137</v>
      </c>
      <c r="C501" s="78">
        <f t="shared" si="355"/>
        <v>0.24008160225717295</v>
      </c>
      <c r="D501" s="191">
        <f t="shared" si="355"/>
        <v>0.27152615992102663</v>
      </c>
      <c r="E501" s="191">
        <f t="shared" si="355"/>
        <v>0.29628415300546451</v>
      </c>
      <c r="F501" s="191">
        <f t="shared" si="355"/>
        <v>0.32205876490053031</v>
      </c>
      <c r="G501" s="56">
        <f t="shared" si="355"/>
        <v>0.28230792420099537</v>
      </c>
      <c r="H501" s="78">
        <f t="shared" si="355"/>
        <v>0.31917859618220762</v>
      </c>
      <c r="I501" s="78">
        <f t="shared" si="355"/>
        <v>0.3047503576195566</v>
      </c>
      <c r="J501" s="78">
        <f t="shared" si="355"/>
        <v>0.31433482892672115</v>
      </c>
      <c r="K501" s="78">
        <f t="shared" si="355"/>
        <v>0.32227303488300563</v>
      </c>
      <c r="L501" s="56">
        <f t="shared" si="355"/>
        <v>0.31521756886114083</v>
      </c>
      <c r="M501" s="78">
        <f t="shared" si="355"/>
        <v>0.31282574038874239</v>
      </c>
      <c r="N501" s="78">
        <f t="shared" si="355"/>
        <v>0.19058358820751262</v>
      </c>
      <c r="O501" s="78">
        <f t="shared" si="355"/>
        <v>0.3529102282298841</v>
      </c>
      <c r="P501" s="78">
        <f t="shared" si="355"/>
        <v>0.31388486332517118</v>
      </c>
      <c r="Q501" s="56">
        <f t="shared" si="355"/>
        <v>0.29252778076099389</v>
      </c>
      <c r="R501" s="78">
        <f t="shared" si="355"/>
        <v>0.32046110220687951</v>
      </c>
      <c r="S501" s="78">
        <f t="shared" si="355"/>
        <v>0.33776611545697599</v>
      </c>
      <c r="T501" s="78">
        <f t="shared" si="355"/>
        <v>0.3389613976935294</v>
      </c>
      <c r="U501" s="78">
        <f t="shared" si="355"/>
        <v>0.41601561049052715</v>
      </c>
      <c r="V501" s="56">
        <f t="shared" si="355"/>
        <v>0.35288968618286654</v>
      </c>
      <c r="W501" s="78">
        <f t="shared" si="355"/>
        <v>0.28317462755337119</v>
      </c>
      <c r="X501" s="78">
        <f t="shared" si="355"/>
        <v>0.3138731491539688</v>
      </c>
      <c r="Y501" s="78">
        <f t="shared" si="355"/>
        <v>0.29405542312276517</v>
      </c>
      <c r="Z501" s="78">
        <v>0.33600000000000002</v>
      </c>
      <c r="AA501" s="56">
        <f>AA474/AA434</f>
        <v>0.30654330028105242</v>
      </c>
      <c r="AB501" s="78">
        <f>AB474/AB434</f>
        <v>0.32259919066464132</v>
      </c>
      <c r="AC501" s="78">
        <f>AC474/AC434</f>
        <v>0.32609201664025361</v>
      </c>
      <c r="AD501" s="78">
        <f>AD474/AD434</f>
        <v>0.33737788350915504</v>
      </c>
      <c r="AE501" s="78">
        <v>0.313</v>
      </c>
      <c r="AF501" s="56">
        <v>0.32395414428430253</v>
      </c>
      <c r="AG501" s="78">
        <v>0.33726415094339623</v>
      </c>
      <c r="AH501" s="78">
        <v>0.32943925233644861</v>
      </c>
      <c r="AI501" s="78">
        <v>0.34953703703703703</v>
      </c>
      <c r="AJ501" s="78">
        <v>0.30681818181818182</v>
      </c>
      <c r="AK501" s="56">
        <v>0.33062645011600927</v>
      </c>
      <c r="AL501" s="78">
        <v>0.30681818181818182</v>
      </c>
      <c r="AM501" s="78">
        <v>0.34168564920273348</v>
      </c>
      <c r="AN501" s="78">
        <v>0.34080717488789236</v>
      </c>
      <c r="AO501" s="78">
        <v>0.30066815144766146</v>
      </c>
      <c r="AP501" s="56">
        <v>0.32243517474633598</v>
      </c>
      <c r="AQ501" s="78">
        <v>0.30296127562642367</v>
      </c>
      <c r="AR501" s="78">
        <v>0.34792626728110598</v>
      </c>
      <c r="AS501" s="78">
        <v>0.31566820276497698</v>
      </c>
      <c r="AT501" s="78">
        <v>0.31735159817351599</v>
      </c>
      <c r="AU501" s="56">
        <v>0.3209169054441261</v>
      </c>
      <c r="AV501" s="78">
        <v>0.28773584905660377</v>
      </c>
      <c r="AW501" s="78">
        <v>0.28846153846153844</v>
      </c>
      <c r="AX501" s="78">
        <v>0.26354679802955666</v>
      </c>
      <c r="AY501" s="78">
        <v>0.24504950495049505</v>
      </c>
      <c r="AZ501" s="56">
        <v>0.27151515151515154</v>
      </c>
      <c r="BA501" s="78">
        <v>0.20799999999999999</v>
      </c>
      <c r="BB501" s="78">
        <v>0.16533333333333333</v>
      </c>
      <c r="BC501" s="78">
        <v>0.22343324250681199</v>
      </c>
      <c r="BD501" s="191">
        <v>-2.9634831460674156</v>
      </c>
      <c r="BE501" s="190">
        <v>-0.56551255940257972</v>
      </c>
    </row>
    <row r="502" spans="1:57" s="36" customFormat="1">
      <c r="A502" s="69" t="s">
        <v>19</v>
      </c>
      <c r="B502" s="56">
        <f t="shared" ref="B502:AE502" si="356">B486/B434</f>
        <v>0.17991649838884441</v>
      </c>
      <c r="C502" s="78">
        <f t="shared" si="356"/>
        <v>0.20820113173310398</v>
      </c>
      <c r="D502" s="191">
        <f t="shared" si="356"/>
        <v>0.10412372490950972</v>
      </c>
      <c r="E502" s="191">
        <f t="shared" si="356"/>
        <v>0.14887378381980543</v>
      </c>
      <c r="F502" s="191">
        <f t="shared" si="356"/>
        <v>0.16674507302422625</v>
      </c>
      <c r="G502" s="56">
        <f t="shared" si="356"/>
        <v>0.15703819567482374</v>
      </c>
      <c r="H502" s="78">
        <f t="shared" si="356"/>
        <v>0.16008046234581091</v>
      </c>
      <c r="I502" s="191">
        <f t="shared" si="356"/>
        <v>0.15929890613616662</v>
      </c>
      <c r="J502" s="191">
        <f t="shared" si="356"/>
        <v>0.22969580839582496</v>
      </c>
      <c r="K502" s="191">
        <f t="shared" si="356"/>
        <v>0.13541260791993923</v>
      </c>
      <c r="L502" s="56">
        <f t="shared" si="356"/>
        <v>0.1709063109508081</v>
      </c>
      <c r="M502" s="78">
        <f t="shared" si="356"/>
        <v>0.15593128538434811</v>
      </c>
      <c r="N502" s="191">
        <f t="shared" si="356"/>
        <v>0.15970571818955567</v>
      </c>
      <c r="O502" s="191">
        <f t="shared" si="356"/>
        <v>0.16368405476707806</v>
      </c>
      <c r="P502" s="191">
        <f t="shared" si="356"/>
        <v>0.22337714257158553</v>
      </c>
      <c r="Q502" s="56">
        <f t="shared" si="356"/>
        <v>0.17586437808368025</v>
      </c>
      <c r="R502" s="78">
        <f t="shared" si="356"/>
        <v>0.17535692269757119</v>
      </c>
      <c r="S502" s="191">
        <f t="shared" si="356"/>
        <v>0.15940934746014457</v>
      </c>
      <c r="T502" s="191">
        <f t="shared" si="356"/>
        <v>0.16606982548561167</v>
      </c>
      <c r="U502" s="191">
        <f t="shared" si="356"/>
        <v>0.15352957053817073</v>
      </c>
      <c r="V502" s="56">
        <f t="shared" si="356"/>
        <v>0.16329041906735137</v>
      </c>
      <c r="W502" s="78">
        <f t="shared" si="356"/>
        <v>0.13529267777607126</v>
      </c>
      <c r="X502" s="191">
        <f t="shared" si="356"/>
        <v>0.16942397463374531</v>
      </c>
      <c r="Y502" s="191">
        <f t="shared" si="356"/>
        <v>0.21496573301549463</v>
      </c>
      <c r="Z502" s="191">
        <f t="shared" si="356"/>
        <v>0.17658972435133558</v>
      </c>
      <c r="AA502" s="56">
        <f t="shared" si="356"/>
        <v>0.17372740975822651</v>
      </c>
      <c r="AB502" s="78">
        <f t="shared" si="356"/>
        <v>0.22214843101444462</v>
      </c>
      <c r="AC502" s="191">
        <f t="shared" si="356"/>
        <v>0.20980586370839938</v>
      </c>
      <c r="AD502" s="191">
        <f t="shared" si="356"/>
        <v>0.16281711288341166</v>
      </c>
      <c r="AE502" s="191">
        <f t="shared" si="356"/>
        <v>0.19596188432625833</v>
      </c>
      <c r="AF502" s="56">
        <v>0.19752742145380184</v>
      </c>
      <c r="AG502" s="78">
        <v>0.18396226415094338</v>
      </c>
      <c r="AH502" s="191">
        <v>0.15887850467289719</v>
      </c>
      <c r="AI502" s="191">
        <v>0.14814814814814814</v>
      </c>
      <c r="AJ502" s="191">
        <v>0.21590909090909091</v>
      </c>
      <c r="AK502" s="56">
        <v>0.17691415313225059</v>
      </c>
      <c r="AL502" s="78">
        <v>0.14772727272727273</v>
      </c>
      <c r="AM502" s="191">
        <v>0.18678815489749431</v>
      </c>
      <c r="AN502" s="191">
        <v>0.16816143497757849</v>
      </c>
      <c r="AO502" s="191">
        <v>9.5768374164810696E-2</v>
      </c>
      <c r="AP502" s="56">
        <v>0.14937993235625704</v>
      </c>
      <c r="AQ502" s="78">
        <v>0.13439635535307518</v>
      </c>
      <c r="AR502" s="191">
        <v>0.13364055299539171</v>
      </c>
      <c r="AS502" s="191">
        <v>0.11751152073732719</v>
      </c>
      <c r="AT502" s="191">
        <v>9.3607305936073054E-2</v>
      </c>
      <c r="AU502" s="56">
        <v>0.11977077363896849</v>
      </c>
      <c r="AV502" s="78">
        <v>0.14150943396226415</v>
      </c>
      <c r="AW502" s="78">
        <v>0.12740384615384615</v>
      </c>
      <c r="AX502" s="78">
        <v>0.16995073891625614</v>
      </c>
      <c r="AY502" s="191">
        <v>0.13118811881188119</v>
      </c>
      <c r="AZ502" s="56">
        <v>0.14242424242424243</v>
      </c>
      <c r="BA502" s="78">
        <v>0.16533333333333333</v>
      </c>
      <c r="BB502" s="78">
        <v>0.2</v>
      </c>
      <c r="BC502" s="78">
        <v>0.21525885558583105</v>
      </c>
      <c r="BD502" s="191">
        <v>0.2303370786516854</v>
      </c>
      <c r="BE502" s="56">
        <v>0.2023082145281738</v>
      </c>
    </row>
    <row r="503" spans="1:57" s="36" customFormat="1" ht="6.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c r="AA503" s="44"/>
      <c r="AB503" s="44"/>
      <c r="AC503" s="44"/>
      <c r="AD503" s="44"/>
      <c r="AE503" s="44"/>
      <c r="AF503" s="44"/>
      <c r="AG503" s="44"/>
      <c r="AH503" s="44"/>
      <c r="AI503" s="44"/>
      <c r="AJ503" s="44"/>
      <c r="AK503" s="44"/>
      <c r="AL503" s="44"/>
      <c r="AM503" s="44"/>
      <c r="AN503" s="44"/>
      <c r="AO503" s="44"/>
      <c r="AP503" s="44"/>
      <c r="AQ503" s="44"/>
      <c r="AR503" s="44"/>
      <c r="AS503" s="44"/>
      <c r="AT503" s="44"/>
      <c r="AU503" s="44"/>
      <c r="AV503" s="44"/>
      <c r="AW503" s="44"/>
      <c r="AX503" s="44"/>
      <c r="AY503" s="44"/>
      <c r="AZ503" s="44"/>
      <c r="BA503" s="44"/>
      <c r="BB503" s="44"/>
      <c r="BC503" s="44"/>
      <c r="BD503" s="44"/>
      <c r="BE503" s="44"/>
    </row>
    <row r="504" spans="1:57" s="36" customFormat="1" ht="20.25" customHeight="1">
      <c r="B504" s="93"/>
      <c r="C504" s="93"/>
      <c r="D504" s="93"/>
      <c r="E504" s="93"/>
      <c r="F504" s="93"/>
      <c r="G504" s="93"/>
      <c r="H504" s="93"/>
      <c r="I504" s="93"/>
      <c r="J504" s="93"/>
      <c r="K504" s="93"/>
      <c r="L504" s="93"/>
      <c r="M504" s="93"/>
      <c r="N504" s="93"/>
      <c r="O504" s="93"/>
      <c r="P504" s="93"/>
      <c r="Q504" s="93"/>
      <c r="R504" s="93"/>
      <c r="W504" s="93"/>
      <c r="X504" s="93"/>
      <c r="AB504" s="93"/>
      <c r="AC504" s="93"/>
      <c r="AD504" s="93"/>
      <c r="AG504" s="93"/>
    </row>
  </sheetData>
  <customSheetViews>
    <customSheetView guid="{67DDFA58-7FF7-4BDB-BFFF-31DB4021D095}" showGridLines="0" hiddenColumns="1">
      <pane xSplit="1" ySplit="4" topLeftCell="Y182" activePane="bottomRight" state="frozenSplit"/>
      <selection pane="bottomRight" activeCell="AD147" sqref="AD147"/>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7DC6D345-C4C0-4162-8636-D495A245EBF8}" showPageBreaks="1" showGridLines="0" printArea="1" hiddenColumns="1">
      <pane xSplit="1" ySplit="4" topLeftCell="W29" activePane="bottomRight" state="frozenSplit"/>
      <selection pane="bottomRight" activeCell="AD53" sqref="AD53"/>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44BC518B-F505-4956-BE42-792973965029}" showPageBreaks="1" showGridLines="0" printArea="1" showRuler="0">
      <pane xSplit="1" ySplit="5" topLeftCell="M185" activePane="bottomRight" state="frozenSplit"/>
      <selection pane="bottomRight" activeCell="T194" sqref="T194"/>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32ED439-2914-4073-BFBF-7718D6CFE811}" showPageBreaks="1" showGridLines="0" printArea="1">
      <pane xSplit="1" ySplit="5" topLeftCell="J6" activePane="bottomRight" state="frozenSplit"/>
      <selection pane="bottomRight" activeCell="R1" sqref="R1"/>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6A44E415-E6EC-4CA2-8B4C-A374F00F0261}" showPageBreaks="1" printArea="1" showRuler="0">
      <pane xSplit="1" ySplit="5" topLeftCell="B6" activePane="bottomRight" state="frozenSplit"/>
      <selection pane="bottomRight" activeCell="B6" sqref="B6"/>
      <rowBreaks count="4" manualBreakCount="4">
        <brk id="61" max="19" man="1"/>
        <brk id="98" max="19" man="1"/>
        <brk id="139" max="19" man="1"/>
        <brk id="180" max="19"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F07085DA-2B2D-4BE1-891D-F25D604A092E}" showPageBreaks="1" printArea="1" showRuler="0">
      <pane xSplit="1" ySplit="5" topLeftCell="H75" activePane="bottomRight" state="frozenSplit"/>
      <selection pane="bottomRight" activeCell="A77" sqref="A77"/>
      <rowBreaks count="6" manualBreakCount="6">
        <brk id="65" max="12" man="1"/>
        <brk id="112" max="12" man="1"/>
        <brk id="156" max="12" man="1"/>
        <brk id="200" max="12" man="1"/>
        <brk id="244" max="12" man="1"/>
        <brk id="288" max="16383"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6BBAF30-1E81-42FB-BA93-01B6813E2C8C}" showPageBreaks="1" printArea="1" view="pageBreakPreview" showRuler="0">
      <pane xSplit="1" ySplit="5" topLeftCell="B6" activePane="bottomRight" state="frozenSplit"/>
      <selection pane="bottomRight"/>
      <rowBreaks count="5" manualBreakCount="5">
        <brk id="69" max="14" man="1"/>
        <brk id="118" max="14" man="1"/>
        <brk id="162" max="14" man="1"/>
        <brk id="209" max="14" man="1"/>
        <brk id="254" max="14" man="1"/>
      </rowBreaks>
      <pageMargins left="0.7" right="0.7" top="0.75" bottom="0.75" header="0.3" footer="0.3"/>
      <printOptions horizontalCentered="1"/>
      <pageSetup paperSize="9" scale="58" fitToWidth="3" fitToHeight="5" orientation="landscape"/>
      <headerFooter alignWithMargins="0">
        <oddHeader>&amp;C&amp;12Bezeq - The Israel Telecommunication Corp. Ltd.</oddHeader>
        <oddFooter>&amp;L
&amp;R&amp;P of &amp;N
Key financial metrics</oddFooter>
      </headerFooter>
    </customSheetView>
  </customSheetViews>
  <phoneticPr fontId="4" type="noConversion"/>
  <pageMargins left="0.19685039370078741" right="0.11811023622047245" top="0.11811023622047245" bottom="0.11811023622047245" header="0.11811023622047245" footer="3.937007874015748E-2"/>
  <pageSetup paperSize="9" scale="67" orientation="landscape" r:id="rId1"/>
  <headerFooter alignWithMargins="0">
    <oddHeader>&amp;C&amp;12Bezeq - The Israel Telecommunication Corp. Ltd.</oddHeader>
    <oddFooter>&amp;L
&amp;R&amp;P of &amp;N
Key financial metrics</oddFooter>
  </headerFooter>
  <rowBreaks count="7" manualBreakCount="7">
    <brk id="77" max="56" man="1"/>
    <brk id="128" max="56" man="1"/>
    <brk id="173" max="56" man="1"/>
    <brk id="249" max="56" man="1"/>
    <brk id="282" max="56" man="1"/>
    <brk id="356" max="56" man="1"/>
    <brk id="430" max="56"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E351"/>
  <sheetViews>
    <sheetView showGridLines="0" topLeftCell="A4" zoomScale="110" zoomScaleNormal="110" workbookViewId="0">
      <pane xSplit="2" ySplit="3" topLeftCell="Q13" activePane="bottomRight" state="frozen"/>
      <selection activeCell="I18" sqref="I18"/>
      <selection pane="topRight" activeCell="I18" sqref="I18"/>
      <selection pane="bottomLeft" activeCell="I18" sqref="I18"/>
      <selection pane="bottomRight" activeCell="I18" sqref="I18"/>
    </sheetView>
  </sheetViews>
  <sheetFormatPr defaultColWidth="8.6640625" defaultRowHeight="13.2"/>
  <cols>
    <col min="1" max="1" width="46.44140625" bestFit="1" customWidth="1"/>
    <col min="2" max="2" width="0" hidden="1" customWidth="1"/>
    <col min="4" max="7" width="0" hidden="1" customWidth="1"/>
    <col min="9" max="12" width="0" hidden="1" customWidth="1"/>
  </cols>
  <sheetData>
    <row r="4" spans="1:57">
      <c r="A4" s="105"/>
      <c r="B4" s="105"/>
      <c r="C4" s="105"/>
      <c r="D4" s="105"/>
      <c r="E4" s="105"/>
      <c r="F4" s="105"/>
      <c r="G4" s="105"/>
      <c r="H4" s="105"/>
      <c r="I4" s="105"/>
      <c r="BD4">
        <v>2018</v>
      </c>
      <c r="BE4">
        <v>2018</v>
      </c>
    </row>
    <row r="5" spans="1:57">
      <c r="A5" s="105"/>
      <c r="B5" s="47" t="s">
        <v>2</v>
      </c>
      <c r="C5" s="47" t="s">
        <v>5</v>
      </c>
      <c r="D5" s="47" t="s">
        <v>94</v>
      </c>
      <c r="E5" s="47" t="s">
        <v>0</v>
      </c>
      <c r="F5" s="47" t="s">
        <v>1</v>
      </c>
      <c r="G5" s="47" t="s">
        <v>2</v>
      </c>
      <c r="H5" s="47" t="s">
        <v>5</v>
      </c>
      <c r="I5" s="47" t="s">
        <v>94</v>
      </c>
      <c r="J5" s="47" t="s">
        <v>0</v>
      </c>
      <c r="K5" s="47" t="s">
        <v>1</v>
      </c>
      <c r="L5" s="47" t="s">
        <v>2</v>
      </c>
      <c r="M5" s="47" t="s">
        <v>5</v>
      </c>
      <c r="N5" s="47" t="s">
        <v>94</v>
      </c>
      <c r="O5" s="47" t="s">
        <v>0</v>
      </c>
      <c r="P5" s="47" t="s">
        <v>1</v>
      </c>
      <c r="Q5" s="47" t="s">
        <v>2</v>
      </c>
      <c r="R5" s="47" t="s">
        <v>5</v>
      </c>
      <c r="S5" s="47" t="s">
        <v>94</v>
      </c>
      <c r="T5" s="47" t="s">
        <v>0</v>
      </c>
      <c r="U5" s="47" t="s">
        <v>1</v>
      </c>
      <c r="V5" s="47" t="s">
        <v>2</v>
      </c>
      <c r="W5" s="47" t="s">
        <v>5</v>
      </c>
      <c r="X5" s="47" t="s">
        <v>94</v>
      </c>
      <c r="Y5" s="47" t="s">
        <v>0</v>
      </c>
      <c r="Z5" s="47" t="s">
        <v>1</v>
      </c>
      <c r="AA5" s="47" t="s">
        <v>2</v>
      </c>
      <c r="AB5" s="47" t="s">
        <v>5</v>
      </c>
    </row>
    <row r="6" spans="1:57">
      <c r="A6" s="58" t="s">
        <v>180</v>
      </c>
      <c r="B6" s="47">
        <v>2013</v>
      </c>
      <c r="C6" s="47">
        <v>2013</v>
      </c>
      <c r="D6" s="47">
        <v>2014</v>
      </c>
      <c r="E6" s="47">
        <v>2014</v>
      </c>
      <c r="F6" s="47">
        <v>2014</v>
      </c>
      <c r="G6" s="47">
        <v>2014</v>
      </c>
      <c r="H6" s="47">
        <v>2014</v>
      </c>
      <c r="I6" s="47">
        <v>2015</v>
      </c>
      <c r="J6" s="47">
        <v>2015</v>
      </c>
      <c r="K6" s="47">
        <v>2015</v>
      </c>
      <c r="L6" s="47">
        <v>2015</v>
      </c>
      <c r="M6" s="47">
        <v>2015</v>
      </c>
      <c r="N6" s="47">
        <v>2016</v>
      </c>
      <c r="O6" s="47">
        <v>2016</v>
      </c>
      <c r="P6" s="47">
        <v>2016</v>
      </c>
      <c r="Q6" s="47">
        <v>2016</v>
      </c>
      <c r="R6" s="47">
        <v>2016</v>
      </c>
      <c r="S6" s="47">
        <v>2017</v>
      </c>
      <c r="T6" s="47">
        <v>2017</v>
      </c>
      <c r="U6" s="47">
        <v>2017</v>
      </c>
      <c r="V6" s="47">
        <v>2017</v>
      </c>
      <c r="W6" s="47">
        <v>2017</v>
      </c>
      <c r="X6" s="47">
        <v>2018</v>
      </c>
      <c r="Y6" s="47">
        <v>2018</v>
      </c>
      <c r="Z6" s="47">
        <v>2018</v>
      </c>
      <c r="AA6" s="47">
        <v>2018</v>
      </c>
      <c r="AB6" s="47">
        <v>2018</v>
      </c>
    </row>
    <row r="7" spans="1:57" ht="6" customHeight="1">
      <c r="A7" s="44"/>
      <c r="B7" s="45"/>
      <c r="C7" s="45"/>
      <c r="D7" s="45"/>
      <c r="E7" s="45"/>
      <c r="F7" s="45"/>
      <c r="G7" s="45"/>
      <c r="H7" s="45"/>
      <c r="I7" s="45"/>
      <c r="J7" s="45"/>
      <c r="K7" s="45"/>
      <c r="L7" s="45"/>
      <c r="M7" s="45"/>
      <c r="N7" s="45"/>
      <c r="O7" s="45"/>
      <c r="P7" s="45"/>
      <c r="Q7" s="45"/>
      <c r="R7" s="45"/>
      <c r="S7" s="45"/>
      <c r="T7" s="45"/>
      <c r="U7" s="45"/>
      <c r="V7" s="45"/>
      <c r="W7" s="45"/>
      <c r="X7" s="45"/>
      <c r="Y7" s="45"/>
      <c r="Z7" s="45"/>
      <c r="AA7" s="45"/>
      <c r="AB7" s="45"/>
    </row>
    <row r="8" spans="1:57" ht="21">
      <c r="A8" s="35" t="s">
        <v>181</v>
      </c>
      <c r="B8" s="27"/>
      <c r="C8" s="27"/>
      <c r="D8" s="27"/>
      <c r="E8" s="27"/>
      <c r="F8" s="27"/>
      <c r="G8" s="27"/>
      <c r="H8" s="27"/>
      <c r="I8" s="27"/>
      <c r="J8" s="27"/>
      <c r="K8" s="27"/>
      <c r="L8" s="27"/>
      <c r="M8" s="27"/>
      <c r="N8" s="27"/>
      <c r="O8" s="27"/>
      <c r="P8" s="27"/>
      <c r="Q8" s="27"/>
      <c r="R8" s="27"/>
      <c r="S8" s="27"/>
      <c r="T8" s="27"/>
      <c r="U8" s="27"/>
      <c r="V8" s="27"/>
      <c r="W8" s="27"/>
      <c r="X8" s="27"/>
      <c r="Y8" s="27"/>
      <c r="Z8" s="27"/>
      <c r="AA8" s="27"/>
      <c r="AB8" s="27"/>
    </row>
    <row r="9" spans="1:57">
      <c r="A9" s="61"/>
      <c r="B9" s="62"/>
      <c r="C9" s="62"/>
      <c r="D9" s="62"/>
      <c r="E9" s="62"/>
      <c r="F9" s="62"/>
      <c r="G9" s="62"/>
      <c r="H9" s="62"/>
      <c r="I9" s="62"/>
      <c r="J9" s="62"/>
      <c r="K9" s="62"/>
      <c r="L9" s="62"/>
      <c r="M9" s="62"/>
      <c r="N9" s="62"/>
      <c r="O9" s="62"/>
      <c r="P9" s="62"/>
      <c r="Q9" s="62"/>
      <c r="R9" s="62"/>
      <c r="S9" s="62"/>
      <c r="T9" s="62"/>
      <c r="U9" s="62"/>
      <c r="V9" s="62"/>
      <c r="W9" s="62"/>
      <c r="X9" s="62"/>
      <c r="Y9" s="62"/>
      <c r="Z9" s="62"/>
      <c r="AA9" s="62"/>
      <c r="AB9" s="62"/>
    </row>
    <row r="10" spans="1:57">
      <c r="A10" s="40" t="s">
        <v>182</v>
      </c>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row>
    <row r="11" spans="1:57">
      <c r="C11" s="37"/>
      <c r="H11" s="37"/>
      <c r="M11" s="37"/>
      <c r="N11" s="34"/>
      <c r="R11" s="37"/>
      <c r="S11" s="34"/>
      <c r="T11" s="34"/>
      <c r="U11" s="34"/>
      <c r="W11" s="37"/>
      <c r="X11" s="34"/>
      <c r="Y11" s="34"/>
      <c r="Z11" s="34"/>
      <c r="AB11" s="37"/>
    </row>
    <row r="12" spans="1:57" ht="13.2" customHeight="1">
      <c r="A12" s="177" t="s">
        <v>183</v>
      </c>
      <c r="B12" s="151" t="s">
        <v>147</v>
      </c>
      <c r="C12" s="153" t="s">
        <v>147</v>
      </c>
      <c r="D12" s="151" t="s">
        <v>147</v>
      </c>
      <c r="E12" s="151" t="s">
        <v>147</v>
      </c>
      <c r="F12" s="151" t="s">
        <v>147</v>
      </c>
      <c r="G12" s="151" t="s">
        <v>147</v>
      </c>
      <c r="H12" s="63" t="s">
        <v>147</v>
      </c>
      <c r="I12" s="151">
        <v>-12</v>
      </c>
      <c r="J12" s="151" t="s">
        <v>147</v>
      </c>
      <c r="K12" s="151" t="s">
        <v>147</v>
      </c>
      <c r="L12" s="151" t="s">
        <v>147</v>
      </c>
      <c r="M12" s="178">
        <v>-12</v>
      </c>
      <c r="N12" s="186" t="s">
        <v>147</v>
      </c>
      <c r="O12" s="186" t="s">
        <v>147</v>
      </c>
      <c r="P12" s="186" t="s">
        <v>147</v>
      </c>
      <c r="Q12" s="151" t="s">
        <v>147</v>
      </c>
      <c r="R12" s="63" t="s">
        <v>147</v>
      </c>
      <c r="S12" s="186" t="s">
        <v>147</v>
      </c>
      <c r="T12" s="186" t="s">
        <v>147</v>
      </c>
      <c r="U12" s="186" t="s">
        <v>147</v>
      </c>
      <c r="V12" s="151" t="s">
        <v>147</v>
      </c>
      <c r="W12" s="63" t="s">
        <v>147</v>
      </c>
      <c r="X12" s="186" t="s">
        <v>147</v>
      </c>
      <c r="Y12" s="186" t="s">
        <v>147</v>
      </c>
      <c r="Z12" s="186" t="s">
        <v>147</v>
      </c>
      <c r="AA12" s="151" t="s">
        <v>147</v>
      </c>
      <c r="AB12" s="63" t="s">
        <v>147</v>
      </c>
    </row>
    <row r="13" spans="1:57" ht="13.2" customHeight="1">
      <c r="C13" s="153"/>
      <c r="H13" s="37"/>
      <c r="M13" s="37"/>
      <c r="N13" s="34"/>
      <c r="O13" s="34"/>
      <c r="P13" s="34"/>
      <c r="R13" s="37"/>
      <c r="S13" s="34"/>
      <c r="T13" s="34"/>
      <c r="U13" s="34"/>
      <c r="W13" s="37"/>
      <c r="X13" s="34"/>
      <c r="Y13" s="34"/>
      <c r="Z13" s="34"/>
      <c r="AB13" s="37"/>
    </row>
    <row r="14" spans="1:57" ht="13.2" customHeight="1">
      <c r="A14" s="2" t="s">
        <v>184</v>
      </c>
      <c r="B14" s="151" t="s">
        <v>147</v>
      </c>
      <c r="C14" s="153" t="s">
        <v>147</v>
      </c>
      <c r="D14" s="151" t="s">
        <v>147</v>
      </c>
      <c r="E14" s="152">
        <v>-582</v>
      </c>
      <c r="F14" s="151" t="s">
        <v>147</v>
      </c>
      <c r="G14" s="151" t="s">
        <v>147</v>
      </c>
      <c r="H14" s="178">
        <v>-582</v>
      </c>
      <c r="I14" s="151" t="s">
        <v>147</v>
      </c>
      <c r="J14" s="151" t="s">
        <v>147</v>
      </c>
      <c r="K14" s="151" t="s">
        <v>147</v>
      </c>
      <c r="L14" s="151" t="s">
        <v>147</v>
      </c>
      <c r="M14" s="63" t="s">
        <v>147</v>
      </c>
      <c r="N14" s="186" t="s">
        <v>147</v>
      </c>
      <c r="O14" s="186" t="s">
        <v>147</v>
      </c>
      <c r="P14" s="186" t="s">
        <v>147</v>
      </c>
      <c r="Q14" s="151" t="s">
        <v>147</v>
      </c>
      <c r="R14" s="63" t="s">
        <v>147</v>
      </c>
      <c r="S14" s="186" t="s">
        <v>147</v>
      </c>
      <c r="T14" s="186" t="s">
        <v>147</v>
      </c>
      <c r="U14" s="186" t="s">
        <v>147</v>
      </c>
      <c r="V14" s="151" t="s">
        <v>147</v>
      </c>
      <c r="W14" s="63" t="s">
        <v>147</v>
      </c>
      <c r="X14" s="186" t="s">
        <v>147</v>
      </c>
      <c r="Y14" s="186" t="s">
        <v>147</v>
      </c>
      <c r="Z14" s="186" t="s">
        <v>147</v>
      </c>
      <c r="AA14" s="151" t="s">
        <v>147</v>
      </c>
      <c r="AB14" s="63" t="s">
        <v>147</v>
      </c>
    </row>
    <row r="15" spans="1:57" ht="13.2" customHeight="1">
      <c r="A15" s="71"/>
      <c r="B15" s="152"/>
      <c r="C15" s="178"/>
      <c r="D15" s="152"/>
      <c r="E15" s="152"/>
      <c r="F15" s="152"/>
      <c r="G15" s="152"/>
      <c r="H15" s="37"/>
      <c r="I15" s="151"/>
      <c r="J15" s="151"/>
      <c r="K15" s="151"/>
      <c r="L15" s="152"/>
      <c r="M15" s="37"/>
      <c r="N15" s="186"/>
      <c r="O15" s="186"/>
      <c r="P15" s="186"/>
      <c r="Q15" s="152"/>
      <c r="R15" s="37"/>
      <c r="S15" s="186"/>
      <c r="T15" s="186"/>
      <c r="U15" s="186"/>
      <c r="V15" s="152"/>
      <c r="W15" s="37"/>
      <c r="X15" s="186"/>
      <c r="Y15" s="186"/>
      <c r="Z15" s="186"/>
      <c r="AA15" s="152"/>
      <c r="AB15" s="37"/>
    </row>
    <row r="16" spans="1:57" ht="13.2" customHeight="1">
      <c r="A16" s="2" t="s">
        <v>278</v>
      </c>
      <c r="B16" s="152"/>
      <c r="C16" s="153" t="s">
        <v>147</v>
      </c>
      <c r="D16" s="152"/>
      <c r="E16" s="152"/>
      <c r="F16" s="152"/>
      <c r="G16" s="152"/>
      <c r="H16" s="153" t="s">
        <v>147</v>
      </c>
      <c r="I16" s="151"/>
      <c r="J16" s="151"/>
      <c r="K16" s="151"/>
      <c r="L16" s="152"/>
      <c r="M16" s="153" t="s">
        <v>147</v>
      </c>
      <c r="N16" s="186" t="s">
        <v>147</v>
      </c>
      <c r="O16" s="186" t="s">
        <v>147</v>
      </c>
      <c r="P16" s="186" t="s">
        <v>147</v>
      </c>
      <c r="Q16" s="151" t="s">
        <v>147</v>
      </c>
      <c r="R16" s="153" t="s">
        <v>147</v>
      </c>
      <c r="S16" s="186" t="s">
        <v>147</v>
      </c>
      <c r="T16" s="186" t="s">
        <v>147</v>
      </c>
      <c r="U16" s="186" t="s">
        <v>147</v>
      </c>
      <c r="V16" s="151" t="s">
        <v>147</v>
      </c>
      <c r="W16" s="153" t="s">
        <v>147</v>
      </c>
      <c r="X16" s="186" t="s">
        <v>147</v>
      </c>
      <c r="Y16" s="186" t="s">
        <v>147</v>
      </c>
      <c r="Z16" s="186" t="s">
        <v>147</v>
      </c>
      <c r="AA16" s="151">
        <v>-14</v>
      </c>
      <c r="AB16" s="178">
        <v>-14</v>
      </c>
    </row>
    <row r="17" spans="1:28" ht="13.2" customHeight="1">
      <c r="A17" s="71"/>
      <c r="B17" s="152"/>
      <c r="C17" s="178"/>
      <c r="D17" s="152"/>
      <c r="E17" s="152"/>
      <c r="F17" s="152"/>
      <c r="G17" s="152"/>
      <c r="H17" s="37"/>
      <c r="I17" s="151"/>
      <c r="J17" s="151"/>
      <c r="K17" s="151"/>
      <c r="L17" s="152"/>
      <c r="M17" s="37"/>
      <c r="N17" s="186"/>
      <c r="O17" s="186"/>
      <c r="P17" s="186"/>
      <c r="Q17" s="152"/>
      <c r="R17" s="37"/>
      <c r="S17" s="186"/>
      <c r="T17" s="186"/>
      <c r="U17" s="186"/>
      <c r="V17" s="152"/>
      <c r="W17" s="37"/>
      <c r="X17" s="186"/>
      <c r="Y17" s="186"/>
      <c r="Z17" s="186"/>
      <c r="AA17" s="152"/>
      <c r="AB17" s="37"/>
    </row>
    <row r="18" spans="1:28" ht="27" customHeight="1">
      <c r="A18" s="179" t="s">
        <v>185</v>
      </c>
      <c r="B18" s="152">
        <v>-29</v>
      </c>
      <c r="C18" s="178">
        <v>-120</v>
      </c>
      <c r="D18" s="152">
        <v>-12</v>
      </c>
      <c r="E18" s="152">
        <v>-102</v>
      </c>
      <c r="F18" s="151">
        <v>-27</v>
      </c>
      <c r="G18" s="152">
        <v>-26</v>
      </c>
      <c r="H18" s="178">
        <v>-167</v>
      </c>
      <c r="I18" s="151">
        <v>-11</v>
      </c>
      <c r="J18" s="151">
        <v>-148</v>
      </c>
      <c r="K18" s="151">
        <v>-13</v>
      </c>
      <c r="L18" s="152">
        <f>M18-SUM(I18:K18)</f>
        <v>-62</v>
      </c>
      <c r="M18" s="178">
        <v>-234</v>
      </c>
      <c r="N18" s="186">
        <v>-11</v>
      </c>
      <c r="O18" s="186">
        <v>-29</v>
      </c>
      <c r="P18" s="186">
        <v>-22</v>
      </c>
      <c r="Q18" s="152">
        <f>R18-P18-O18-N18</f>
        <v>-45</v>
      </c>
      <c r="R18" s="178">
        <v>-107</v>
      </c>
      <c r="S18" s="186">
        <v>-6</v>
      </c>
      <c r="T18" s="186">
        <v>-14</v>
      </c>
      <c r="U18" s="186">
        <v>-45</v>
      </c>
      <c r="V18" s="152">
        <f>W18-U18-T18-S18</f>
        <v>-1</v>
      </c>
      <c r="W18" s="178">
        <v>-66</v>
      </c>
      <c r="X18" s="186">
        <v>-1</v>
      </c>
      <c r="Y18" s="186">
        <v>-5</v>
      </c>
      <c r="Z18" s="186">
        <f>10-1</f>
        <v>9</v>
      </c>
      <c r="AA18" s="152">
        <f>AB18-Z18-Y18-X18</f>
        <v>-4</v>
      </c>
      <c r="AB18" s="178">
        <v>-1</v>
      </c>
    </row>
    <row r="19" spans="1:28" ht="13.2" customHeight="1">
      <c r="A19" s="71"/>
      <c r="B19" s="152"/>
      <c r="C19" s="178"/>
      <c r="D19" s="152"/>
      <c r="E19" s="152"/>
      <c r="F19" s="152"/>
      <c r="G19" s="152"/>
      <c r="H19" s="178"/>
      <c r="I19" s="151"/>
      <c r="J19" s="151"/>
      <c r="K19" s="151"/>
      <c r="L19" s="152"/>
      <c r="M19" s="178"/>
      <c r="N19" s="186"/>
      <c r="O19" s="186"/>
      <c r="P19" s="186"/>
      <c r="Q19" s="152"/>
      <c r="R19" s="178"/>
      <c r="S19" s="186"/>
      <c r="T19" s="186"/>
      <c r="U19" s="186"/>
      <c r="V19" s="152"/>
      <c r="W19" s="178"/>
      <c r="X19" s="186"/>
      <c r="Y19" s="186"/>
      <c r="Z19" s="186"/>
      <c r="AA19" s="152"/>
      <c r="AB19" s="178"/>
    </row>
    <row r="20" spans="1:28" ht="13.2" customHeight="1">
      <c r="A20" s="2" t="s">
        <v>186</v>
      </c>
      <c r="B20" s="152">
        <v>-7</v>
      </c>
      <c r="C20" s="178">
        <v>-47</v>
      </c>
      <c r="D20" s="152">
        <v>-5</v>
      </c>
      <c r="E20" s="151">
        <v>-2</v>
      </c>
      <c r="F20" s="151">
        <v>-1</v>
      </c>
      <c r="G20" s="151" t="s">
        <v>147</v>
      </c>
      <c r="H20" s="178">
        <v>-8</v>
      </c>
      <c r="I20" s="151" t="s">
        <v>147</v>
      </c>
      <c r="J20" s="151" t="s">
        <v>147</v>
      </c>
      <c r="K20" s="151" t="s">
        <v>147</v>
      </c>
      <c r="L20" s="151" t="s">
        <v>147</v>
      </c>
      <c r="M20" s="63" t="s">
        <v>147</v>
      </c>
      <c r="N20" s="186" t="s">
        <v>147</v>
      </c>
      <c r="O20" s="186" t="s">
        <v>147</v>
      </c>
      <c r="P20" s="186" t="s">
        <v>147</v>
      </c>
      <c r="Q20" s="151" t="s">
        <v>147</v>
      </c>
      <c r="R20" s="63" t="s">
        <v>147</v>
      </c>
      <c r="S20" s="186" t="s">
        <v>147</v>
      </c>
      <c r="T20" s="186" t="s">
        <v>147</v>
      </c>
      <c r="U20" s="186" t="s">
        <v>147</v>
      </c>
      <c r="V20" s="151" t="s">
        <v>147</v>
      </c>
      <c r="W20" s="63" t="s">
        <v>147</v>
      </c>
      <c r="X20" s="186" t="s">
        <v>147</v>
      </c>
      <c r="Y20" s="186" t="s">
        <v>147</v>
      </c>
      <c r="Z20" s="186" t="s">
        <v>147</v>
      </c>
      <c r="AA20" s="151" t="s">
        <v>147</v>
      </c>
      <c r="AB20" s="63" t="s">
        <v>147</v>
      </c>
    </row>
    <row r="21" spans="1:28" ht="13.2" customHeight="1">
      <c r="A21" s="71"/>
      <c r="B21" s="152"/>
      <c r="C21" s="178"/>
      <c r="D21" s="152"/>
      <c r="E21" s="152"/>
      <c r="F21" s="152"/>
      <c r="G21" s="152"/>
      <c r="H21" s="178"/>
      <c r="I21" s="152"/>
      <c r="J21" s="152"/>
      <c r="K21" s="152"/>
      <c r="L21" s="152"/>
      <c r="M21" s="178"/>
      <c r="N21" s="187"/>
      <c r="O21" s="187"/>
      <c r="P21" s="187"/>
      <c r="Q21" s="152"/>
      <c r="R21" s="178"/>
      <c r="S21" s="187"/>
      <c r="T21" s="187"/>
      <c r="U21" s="187"/>
      <c r="V21" s="152"/>
      <c r="W21" s="178"/>
      <c r="X21" s="187"/>
      <c r="Y21" s="187"/>
      <c r="Z21" s="187"/>
      <c r="AA21" s="152"/>
      <c r="AB21" s="178"/>
    </row>
    <row r="22" spans="1:28" ht="13.2" customHeight="1">
      <c r="A22" s="2" t="s">
        <v>187</v>
      </c>
      <c r="B22" s="152">
        <v>2</v>
      </c>
      <c r="C22" s="153" t="s">
        <v>147</v>
      </c>
      <c r="D22" s="151" t="s">
        <v>147</v>
      </c>
      <c r="E22" s="151" t="s">
        <v>147</v>
      </c>
      <c r="F22" s="151">
        <v>-5</v>
      </c>
      <c r="G22" s="152">
        <f>H22-F22</f>
        <v>-18</v>
      </c>
      <c r="H22" s="178">
        <v>-23</v>
      </c>
      <c r="I22" s="152">
        <v>6</v>
      </c>
      <c r="J22" s="152">
        <v>6</v>
      </c>
      <c r="K22" s="151" t="s">
        <v>147</v>
      </c>
      <c r="L22" s="152">
        <f>M22-SUM(I22:K22)</f>
        <v>22</v>
      </c>
      <c r="M22" s="178">
        <v>34</v>
      </c>
      <c r="N22" s="186" t="s">
        <v>147</v>
      </c>
      <c r="O22" s="186" t="s">
        <v>147</v>
      </c>
      <c r="P22" s="186" t="s">
        <v>147</v>
      </c>
      <c r="Q22" s="152"/>
      <c r="R22" s="178"/>
      <c r="S22" s="186" t="s">
        <v>147</v>
      </c>
      <c r="T22" s="186" t="s">
        <v>147</v>
      </c>
      <c r="U22" s="186" t="s">
        <v>147</v>
      </c>
      <c r="V22" s="151" t="s">
        <v>147</v>
      </c>
      <c r="W22" s="178"/>
      <c r="X22" s="186" t="s">
        <v>147</v>
      </c>
      <c r="Y22" s="186" t="s">
        <v>147</v>
      </c>
      <c r="Z22" s="186" t="s">
        <v>147</v>
      </c>
      <c r="AA22" s="151" t="s">
        <v>147</v>
      </c>
      <c r="AB22" s="63" t="s">
        <v>147</v>
      </c>
    </row>
    <row r="23" spans="1:28" ht="13.2" customHeight="1">
      <c r="A23" s="71"/>
      <c r="B23" s="152"/>
      <c r="C23" s="178"/>
      <c r="D23" s="152"/>
      <c r="E23" s="152"/>
      <c r="F23" s="152"/>
      <c r="G23" s="152"/>
      <c r="H23" s="37"/>
      <c r="I23" s="152"/>
      <c r="J23" s="152"/>
      <c r="K23" s="152"/>
      <c r="L23" s="152"/>
      <c r="M23" s="37"/>
      <c r="N23" s="187"/>
      <c r="O23" s="187"/>
      <c r="P23" s="187"/>
      <c r="Q23" s="152"/>
      <c r="R23" s="37"/>
      <c r="S23" s="187"/>
      <c r="T23" s="187"/>
      <c r="U23" s="187"/>
      <c r="V23" s="152"/>
      <c r="W23" s="37"/>
      <c r="X23" s="187"/>
      <c r="Y23" s="187"/>
      <c r="Z23" s="187"/>
      <c r="AA23" s="152"/>
      <c r="AB23" s="37"/>
    </row>
    <row r="24" spans="1:28" ht="13.2" customHeight="1">
      <c r="A24" s="2" t="s">
        <v>188</v>
      </c>
      <c r="B24" s="152">
        <v>53</v>
      </c>
      <c r="C24" s="178">
        <v>90</v>
      </c>
      <c r="D24" s="152">
        <v>8</v>
      </c>
      <c r="E24" s="152">
        <v>117</v>
      </c>
      <c r="F24" s="152">
        <v>8</v>
      </c>
      <c r="G24" s="152">
        <v>43</v>
      </c>
      <c r="H24" s="63">
        <v>176</v>
      </c>
      <c r="I24" s="151" t="s">
        <v>147</v>
      </c>
      <c r="J24" s="151">
        <v>1</v>
      </c>
      <c r="K24" s="151" t="s">
        <v>147</v>
      </c>
      <c r="L24" s="152">
        <f>M24-SUM(I24:K24)</f>
        <v>116</v>
      </c>
      <c r="M24" s="178">
        <v>117</v>
      </c>
      <c r="N24" s="186">
        <v>1</v>
      </c>
      <c r="O24" s="186">
        <v>14</v>
      </c>
      <c r="P24" s="186">
        <v>3</v>
      </c>
      <c r="Q24" s="152">
        <f>R24-P24-O24-N24</f>
        <v>78</v>
      </c>
      <c r="R24" s="178">
        <v>96</v>
      </c>
      <c r="S24" s="186" t="s">
        <v>147</v>
      </c>
      <c r="T24" s="186">
        <v>12</v>
      </c>
      <c r="U24" s="186">
        <v>3</v>
      </c>
      <c r="V24" s="152">
        <f>W24-U24-T24</f>
        <v>8</v>
      </c>
      <c r="W24" s="178">
        <v>23</v>
      </c>
      <c r="X24" s="186">
        <v>12</v>
      </c>
      <c r="Y24" s="186">
        <v>81</v>
      </c>
      <c r="Z24" s="186" t="s">
        <v>147</v>
      </c>
      <c r="AA24" s="152">
        <f>AB24-X24-Y24</f>
        <v>466</v>
      </c>
      <c r="AB24" s="178">
        <v>559</v>
      </c>
    </row>
    <row r="25" spans="1:28" ht="13.2" customHeight="1">
      <c r="A25" s="71"/>
      <c r="B25" s="152"/>
      <c r="C25" s="178"/>
      <c r="D25" s="152"/>
      <c r="E25" s="152"/>
      <c r="F25" s="152"/>
      <c r="G25" s="152"/>
      <c r="H25" s="37"/>
      <c r="I25" s="152"/>
      <c r="J25" s="152"/>
      <c r="K25" s="152"/>
      <c r="L25" s="152"/>
      <c r="M25" s="37"/>
      <c r="N25" s="187"/>
      <c r="O25" s="187"/>
      <c r="P25" s="187"/>
      <c r="Q25" s="152"/>
      <c r="R25" s="37"/>
      <c r="S25" s="187"/>
      <c r="T25" s="187"/>
      <c r="U25" s="187"/>
      <c r="V25" s="152"/>
      <c r="W25" s="37"/>
      <c r="X25" s="187"/>
      <c r="Y25" s="187"/>
      <c r="Z25" s="187"/>
      <c r="AA25" s="152"/>
      <c r="AB25" s="37"/>
    </row>
    <row r="26" spans="1:28" ht="25.5" customHeight="1">
      <c r="A26" s="179" t="s">
        <v>189</v>
      </c>
      <c r="B26" s="152">
        <v>61</v>
      </c>
      <c r="C26" s="178">
        <v>61</v>
      </c>
      <c r="D26" s="151" t="s">
        <v>147</v>
      </c>
      <c r="E26" s="151" t="s">
        <v>147</v>
      </c>
      <c r="F26" s="151" t="s">
        <v>147</v>
      </c>
      <c r="G26" s="152">
        <v>18</v>
      </c>
      <c r="H26" s="178">
        <v>18</v>
      </c>
      <c r="I26" s="151" t="s">
        <v>147</v>
      </c>
      <c r="J26" s="151" t="s">
        <v>147</v>
      </c>
      <c r="K26" s="151" t="s">
        <v>147</v>
      </c>
      <c r="L26" s="151" t="s">
        <v>147</v>
      </c>
      <c r="M26" s="63" t="s">
        <v>147</v>
      </c>
      <c r="N26" s="186" t="s">
        <v>147</v>
      </c>
      <c r="O26" s="186" t="s">
        <v>147</v>
      </c>
      <c r="P26" s="186" t="s">
        <v>147</v>
      </c>
      <c r="Q26" s="151" t="s">
        <v>147</v>
      </c>
      <c r="R26" s="63" t="s">
        <v>147</v>
      </c>
      <c r="S26" s="186" t="s">
        <v>147</v>
      </c>
      <c r="T26" s="186" t="s">
        <v>147</v>
      </c>
      <c r="U26" s="186" t="s">
        <v>147</v>
      </c>
      <c r="V26" s="151" t="s">
        <v>147</v>
      </c>
      <c r="W26" s="63" t="s">
        <v>147</v>
      </c>
      <c r="X26" s="186" t="s">
        <v>147</v>
      </c>
      <c r="Y26" s="186" t="s">
        <v>147</v>
      </c>
      <c r="Z26" s="186" t="s">
        <v>147</v>
      </c>
      <c r="AA26" s="151" t="s">
        <v>147</v>
      </c>
      <c r="AB26" s="63" t="s">
        <v>147</v>
      </c>
    </row>
    <row r="27" spans="1:28" ht="13.2" customHeight="1">
      <c r="A27" s="71"/>
      <c r="B27" s="152"/>
      <c r="C27" s="178"/>
      <c r="D27" s="152"/>
      <c r="E27" s="152"/>
      <c r="F27" s="152"/>
      <c r="G27" s="152"/>
      <c r="H27" s="37"/>
      <c r="I27" s="152"/>
      <c r="J27" s="152"/>
      <c r="K27" s="152"/>
      <c r="L27" s="152"/>
      <c r="M27" s="37"/>
      <c r="N27" s="187"/>
      <c r="O27" s="187"/>
      <c r="P27" s="187"/>
      <c r="Q27" s="152"/>
      <c r="R27" s="37"/>
      <c r="S27" s="187"/>
      <c r="T27" s="187"/>
      <c r="U27" s="187"/>
      <c r="V27" s="152"/>
      <c r="W27" s="37"/>
      <c r="X27" s="187"/>
      <c r="Y27" s="187"/>
      <c r="Z27" s="187"/>
      <c r="AA27" s="152"/>
      <c r="AB27" s="37"/>
    </row>
    <row r="28" spans="1:28" ht="27" customHeight="1">
      <c r="A28" s="179" t="s">
        <v>190</v>
      </c>
      <c r="B28" s="151">
        <v>1</v>
      </c>
      <c r="C28" s="178">
        <v>1</v>
      </c>
      <c r="D28" s="151" t="s">
        <v>147</v>
      </c>
      <c r="E28" s="151" t="s">
        <v>147</v>
      </c>
      <c r="F28" s="151" t="s">
        <v>147</v>
      </c>
      <c r="G28" s="151" t="s">
        <v>147</v>
      </c>
      <c r="H28" s="63" t="s">
        <v>147</v>
      </c>
      <c r="I28" s="151" t="s">
        <v>147</v>
      </c>
      <c r="J28" s="151" t="s">
        <v>147</v>
      </c>
      <c r="K28" s="151" t="s">
        <v>147</v>
      </c>
      <c r="L28" s="151" t="s">
        <v>147</v>
      </c>
      <c r="M28" s="63" t="s">
        <v>147</v>
      </c>
      <c r="N28" s="186" t="s">
        <v>147</v>
      </c>
      <c r="O28" s="186" t="s">
        <v>147</v>
      </c>
      <c r="P28" s="186" t="s">
        <v>147</v>
      </c>
      <c r="Q28" s="151" t="s">
        <v>147</v>
      </c>
      <c r="R28" s="63" t="s">
        <v>147</v>
      </c>
      <c r="S28" s="186" t="s">
        <v>147</v>
      </c>
      <c r="T28" s="186" t="s">
        <v>147</v>
      </c>
      <c r="U28" s="186" t="s">
        <v>147</v>
      </c>
      <c r="V28" s="151" t="s">
        <v>147</v>
      </c>
      <c r="W28" s="63" t="s">
        <v>147</v>
      </c>
      <c r="X28" s="186" t="s">
        <v>147</v>
      </c>
      <c r="Y28" s="186" t="s">
        <v>147</v>
      </c>
      <c r="Z28" s="186" t="s">
        <v>147</v>
      </c>
      <c r="AA28" s="151" t="s">
        <v>147</v>
      </c>
      <c r="AB28" s="63" t="s">
        <v>147</v>
      </c>
    </row>
    <row r="29" spans="1:28" ht="13.2" customHeight="1">
      <c r="A29" s="71"/>
      <c r="B29" s="151"/>
      <c r="C29" s="178"/>
      <c r="D29" s="151"/>
      <c r="E29" s="151"/>
      <c r="F29" s="151"/>
      <c r="G29" s="151"/>
      <c r="H29" s="63"/>
      <c r="I29" s="151"/>
      <c r="J29" s="151"/>
      <c r="K29" s="151"/>
      <c r="L29" s="151"/>
      <c r="M29" s="63"/>
      <c r="N29" s="186"/>
      <c r="O29" s="186"/>
      <c r="P29" s="186"/>
      <c r="Q29" s="151"/>
      <c r="R29" s="63"/>
      <c r="S29" s="186"/>
      <c r="T29" s="186"/>
      <c r="U29" s="186"/>
      <c r="V29" s="151"/>
      <c r="W29" s="63"/>
      <c r="X29" s="186"/>
      <c r="Y29" s="186"/>
      <c r="Z29" s="186"/>
      <c r="AA29" s="151"/>
      <c r="AB29" s="63"/>
    </row>
    <row r="30" spans="1:28" ht="13.2" customHeight="1">
      <c r="A30" s="179" t="s">
        <v>282</v>
      </c>
      <c r="B30" s="151" t="s">
        <v>147</v>
      </c>
      <c r="C30" s="153" t="s">
        <v>147</v>
      </c>
      <c r="D30" s="152">
        <v>1</v>
      </c>
      <c r="E30" s="152">
        <v>1</v>
      </c>
      <c r="F30" s="151" t="s">
        <v>147</v>
      </c>
      <c r="G30" s="151">
        <v>-2</v>
      </c>
      <c r="H30" s="63" t="s">
        <v>147</v>
      </c>
      <c r="I30" s="151" t="s">
        <v>147</v>
      </c>
      <c r="J30" s="151" t="s">
        <v>147</v>
      </c>
      <c r="K30" s="151" t="s">
        <v>147</v>
      </c>
      <c r="L30" s="151" t="s">
        <v>147</v>
      </c>
      <c r="M30" s="63" t="s">
        <v>147</v>
      </c>
      <c r="N30" s="186">
        <v>15</v>
      </c>
      <c r="O30" s="186">
        <v>3</v>
      </c>
      <c r="P30" s="186">
        <v>-7</v>
      </c>
      <c r="Q30" s="151" t="s">
        <v>147</v>
      </c>
      <c r="R30" s="63">
        <v>11</v>
      </c>
      <c r="S30" s="186">
        <v>2</v>
      </c>
      <c r="T30" s="186">
        <v>1</v>
      </c>
      <c r="U30" s="186">
        <v>19</v>
      </c>
      <c r="V30" s="152">
        <f>W30-U30-T30-S30</f>
        <v>2</v>
      </c>
      <c r="W30" s="63">
        <v>24</v>
      </c>
      <c r="X30" s="186">
        <v>12</v>
      </c>
      <c r="Y30" s="186">
        <v>8</v>
      </c>
      <c r="Z30" s="186">
        <v>7</v>
      </c>
      <c r="AA30" s="152">
        <f>AB30-Z30-Y30-X30</f>
        <v>63</v>
      </c>
      <c r="AB30" s="178">
        <v>90</v>
      </c>
    </row>
    <row r="31" spans="1:28" ht="13.2" customHeight="1">
      <c r="A31" s="180"/>
      <c r="B31" s="152"/>
      <c r="C31" s="178"/>
      <c r="D31" s="152"/>
      <c r="E31" s="152"/>
      <c r="F31" s="152"/>
      <c r="G31" s="152"/>
      <c r="H31" s="178"/>
      <c r="I31" s="152"/>
      <c r="J31" s="152"/>
      <c r="K31" s="152"/>
      <c r="L31" s="152"/>
      <c r="M31" s="178"/>
      <c r="N31" s="187"/>
      <c r="O31" s="187"/>
      <c r="P31" s="187"/>
      <c r="Q31" s="152"/>
      <c r="R31" s="178"/>
      <c r="S31" s="187"/>
      <c r="T31" s="187"/>
      <c r="U31" s="187"/>
      <c r="V31" s="152"/>
      <c r="W31" s="178"/>
      <c r="X31" s="187"/>
      <c r="Y31" s="187"/>
      <c r="Z31" s="187"/>
      <c r="AA31" s="152"/>
      <c r="AB31" s="178"/>
    </row>
    <row r="32" spans="1:28" ht="13.2" customHeight="1">
      <c r="A32" s="181" t="s">
        <v>191</v>
      </c>
      <c r="B32" s="182">
        <f t="shared" ref="B32:S32" si="0">SUM(B12:B30)</f>
        <v>81</v>
      </c>
      <c r="C32" s="183">
        <f t="shared" si="0"/>
        <v>-15</v>
      </c>
      <c r="D32" s="182">
        <f t="shared" si="0"/>
        <v>-8</v>
      </c>
      <c r="E32" s="182">
        <f t="shared" si="0"/>
        <v>-568</v>
      </c>
      <c r="F32" s="182">
        <f t="shared" si="0"/>
        <v>-25</v>
      </c>
      <c r="G32" s="182">
        <f t="shared" si="0"/>
        <v>15</v>
      </c>
      <c r="H32" s="183">
        <f t="shared" si="0"/>
        <v>-586</v>
      </c>
      <c r="I32" s="182">
        <f t="shared" si="0"/>
        <v>-17</v>
      </c>
      <c r="J32" s="182">
        <f t="shared" si="0"/>
        <v>-141</v>
      </c>
      <c r="K32" s="182">
        <f t="shared" si="0"/>
        <v>-13</v>
      </c>
      <c r="L32" s="182">
        <f t="shared" si="0"/>
        <v>76</v>
      </c>
      <c r="M32" s="183">
        <f t="shared" si="0"/>
        <v>-95</v>
      </c>
      <c r="N32" s="188">
        <f t="shared" si="0"/>
        <v>5</v>
      </c>
      <c r="O32" s="188">
        <f t="shared" si="0"/>
        <v>-12</v>
      </c>
      <c r="P32" s="188">
        <f t="shared" si="0"/>
        <v>-26</v>
      </c>
      <c r="Q32" s="182">
        <f t="shared" si="0"/>
        <v>33</v>
      </c>
      <c r="R32" s="183">
        <f t="shared" si="0"/>
        <v>0</v>
      </c>
      <c r="S32" s="188">
        <f t="shared" si="0"/>
        <v>-4</v>
      </c>
      <c r="T32" s="188">
        <f t="shared" ref="T32:U32" si="1">SUM(T12:T30)</f>
        <v>-1</v>
      </c>
      <c r="U32" s="188">
        <f t="shared" si="1"/>
        <v>-23</v>
      </c>
      <c r="V32" s="182">
        <f>SUM(V12:V30)</f>
        <v>9</v>
      </c>
      <c r="W32" s="183">
        <f>SUM(W12:W31)</f>
        <v>-19</v>
      </c>
      <c r="X32" s="188">
        <f>SUM(X12:X30)</f>
        <v>23</v>
      </c>
      <c r="Y32" s="188">
        <f>SUM(Y12:Y30)</f>
        <v>84</v>
      </c>
      <c r="Z32" s="188">
        <f>SUM(Z12:Z30)</f>
        <v>16</v>
      </c>
      <c r="AA32" s="182">
        <f>SUM(AA12:AA30)</f>
        <v>511</v>
      </c>
      <c r="AB32" s="183">
        <f>SUM(AB12:AB31)</f>
        <v>634</v>
      </c>
    </row>
    <row r="33" spans="1:56" ht="6" customHeight="1">
      <c r="A33" s="46"/>
      <c r="B33" s="46"/>
      <c r="C33" s="46"/>
      <c r="D33" s="46"/>
      <c r="E33" s="46"/>
      <c r="F33" s="46"/>
      <c r="G33" s="46"/>
      <c r="H33" s="46"/>
      <c r="I33" s="46"/>
      <c r="J33" s="46"/>
      <c r="K33" s="46"/>
      <c r="L33" s="46"/>
      <c r="M33" s="46"/>
      <c r="N33" s="46"/>
      <c r="O33" s="46"/>
      <c r="P33" s="46"/>
      <c r="Q33" s="46"/>
      <c r="R33" s="46"/>
      <c r="S33" s="46"/>
      <c r="T33" s="46"/>
      <c r="U33" s="46"/>
      <c r="V33" s="46"/>
      <c r="W33" s="46"/>
      <c r="X33" s="46"/>
      <c r="Y33" s="46"/>
      <c r="Z33" s="46"/>
      <c r="AA33" s="46"/>
      <c r="AB33" s="46"/>
    </row>
    <row r="34" spans="1:56">
      <c r="A34" s="184" t="s">
        <v>192</v>
      </c>
      <c r="H34" s="185"/>
      <c r="M34" s="185"/>
      <c r="N34" s="34"/>
      <c r="R34" s="185"/>
      <c r="S34" s="34"/>
      <c r="T34" s="34"/>
      <c r="U34" s="34"/>
      <c r="W34" s="185"/>
    </row>
    <row r="35" spans="1:56">
      <c r="A35" s="34"/>
      <c r="N35" s="34"/>
      <c r="X35" s="222"/>
      <c r="Y35" s="222"/>
    </row>
    <row r="43" spans="1:56">
      <c r="BD43">
        <v>-0.11</v>
      </c>
    </row>
    <row r="187" spans="44:44">
      <c r="AR187">
        <v>59</v>
      </c>
    </row>
    <row r="220" spans="1:1">
      <c r="A220" s="34"/>
    </row>
    <row r="330" spans="57:57">
      <c r="BE330">
        <f>BE327-260</f>
        <v>-260</v>
      </c>
    </row>
    <row r="351" spans="55:55">
      <c r="BC351" s="68">
        <v>0.26400000000000001</v>
      </c>
    </row>
  </sheetData>
  <pageMargins left="0.39370078740157483" right="0.39370078740157483" top="0.74803149606299213" bottom="0.74803149606299213" header="0.31496062992125984" footer="0.19685039370078741"/>
  <pageSetup paperSize="9" scale="68" orientation="landscape" r:id="rId1"/>
  <headerFooter>
    <oddFooter xml:space="preserve">&amp;R&amp;P of &amp;N
Other  expenses (income), net
</oddFooter>
  </headerFooter>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T428"/>
  <sheetViews>
    <sheetView showGridLines="0" zoomScaleNormal="100" zoomScalePageLayoutView="90" workbookViewId="0">
      <pane xSplit="1" ySplit="4" topLeftCell="Q118" activePane="bottomRight" state="frozen"/>
      <selection activeCell="I18" sqref="I18"/>
      <selection pane="topRight" activeCell="I18" sqref="I18"/>
      <selection pane="bottomLeft" activeCell="I18" sqref="I18"/>
      <selection pane="bottomRight" activeCell="I18" sqref="I18"/>
    </sheetView>
  </sheetViews>
  <sheetFormatPr defaultColWidth="8.6640625" defaultRowHeight="13.2"/>
  <cols>
    <col min="1" max="1" width="43" customWidth="1"/>
    <col min="2" max="2" width="10.44140625" hidden="1" customWidth="1"/>
    <col min="3" max="7" width="10.44140625" style="1" hidden="1" customWidth="1"/>
    <col min="8" max="10" width="9.44140625" style="1" hidden="1" customWidth="1"/>
    <col min="11" max="11" width="8.6640625" style="1" hidden="1" customWidth="1"/>
    <col min="12" max="12" width="8.33203125" style="1" hidden="1" customWidth="1"/>
    <col min="13" max="15" width="8.6640625" style="1" hidden="1" customWidth="1"/>
    <col min="16" max="16" width="8.33203125" style="1" hidden="1" customWidth="1"/>
    <col min="17" max="17" width="8.6640625" style="1" customWidth="1"/>
    <col min="18" max="18" width="8.6640625" style="1" hidden="1" customWidth="1"/>
    <col min="19" max="21" width="8.44140625" style="1" hidden="1" customWidth="1"/>
    <col min="22" max="22" width="8.6640625" style="1" customWidth="1"/>
    <col min="23" max="23" width="8.44140625" style="1" hidden="1" customWidth="1"/>
    <col min="24" max="24" width="8.6640625" style="1" hidden="1" customWidth="1"/>
    <col min="25" max="26" width="9.33203125" style="1" hidden="1" customWidth="1"/>
    <col min="27" max="27" width="9.33203125" style="1" customWidth="1"/>
    <col min="28" max="31" width="9.33203125" style="1" hidden="1" customWidth="1"/>
    <col min="32" max="32" width="9.33203125" style="1" customWidth="1"/>
    <col min="33" max="36" width="9.33203125" style="1" hidden="1" customWidth="1"/>
    <col min="37" max="37" width="9.33203125" style="1" customWidth="1"/>
    <col min="38" max="41" width="8.6640625" style="1" hidden="1" customWidth="1"/>
    <col min="42" max="60" width="8.6640625" style="1"/>
    <col min="61" max="16384" width="8.6640625" style="4"/>
  </cols>
  <sheetData>
    <row r="1" spans="1:202" ht="15.6">
      <c r="A1" s="30"/>
      <c r="B1" s="30"/>
      <c r="C1" s="67"/>
      <c r="D1" s="67"/>
      <c r="E1" s="67"/>
      <c r="F1" s="67"/>
      <c r="G1" s="67"/>
      <c r="H1" s="67"/>
      <c r="I1" s="67"/>
      <c r="J1" s="67"/>
      <c r="K1" s="67"/>
      <c r="L1" s="67"/>
      <c r="M1" s="67"/>
      <c r="N1" s="32"/>
      <c r="O1" s="32"/>
    </row>
    <row r="2" spans="1:202">
      <c r="A2" s="30"/>
      <c r="B2" s="30"/>
      <c r="C2" s="30"/>
      <c r="D2" s="30"/>
      <c r="E2" s="30"/>
      <c r="F2" s="30"/>
      <c r="G2" s="30"/>
      <c r="H2" s="30"/>
      <c r="I2" s="30"/>
      <c r="J2" s="30"/>
      <c r="K2" s="30"/>
      <c r="L2" s="30"/>
      <c r="M2" s="30"/>
      <c r="N2" s="32"/>
      <c r="O2" s="32"/>
    </row>
    <row r="3" spans="1:202">
      <c r="A3" s="31"/>
      <c r="B3" s="47" t="s">
        <v>5</v>
      </c>
      <c r="C3" s="47" t="s">
        <v>6</v>
      </c>
      <c r="D3" s="47" t="s">
        <v>0</v>
      </c>
      <c r="E3" s="47" t="s">
        <v>1</v>
      </c>
      <c r="F3" s="47" t="s">
        <v>2</v>
      </c>
      <c r="G3" s="47" t="s">
        <v>5</v>
      </c>
      <c r="H3" s="47" t="s">
        <v>6</v>
      </c>
      <c r="I3" s="47" t="s">
        <v>0</v>
      </c>
      <c r="J3" s="47" t="s">
        <v>1</v>
      </c>
      <c r="K3" s="47" t="s">
        <v>2</v>
      </c>
      <c r="L3" s="47" t="s">
        <v>5</v>
      </c>
      <c r="M3" s="47" t="s">
        <v>6</v>
      </c>
      <c r="N3" s="47" t="s">
        <v>56</v>
      </c>
      <c r="O3" s="47" t="s">
        <v>1</v>
      </c>
      <c r="P3" s="47" t="s">
        <v>2</v>
      </c>
      <c r="Q3" s="47" t="s">
        <v>5</v>
      </c>
      <c r="R3" s="47" t="s">
        <v>6</v>
      </c>
      <c r="S3" s="47" t="s">
        <v>0</v>
      </c>
      <c r="T3" s="47" t="s">
        <v>1</v>
      </c>
      <c r="U3" s="47" t="s">
        <v>2</v>
      </c>
      <c r="V3" s="47" t="s">
        <v>5</v>
      </c>
      <c r="W3" s="47" t="s">
        <v>6</v>
      </c>
      <c r="X3" s="47" t="s">
        <v>0</v>
      </c>
      <c r="Y3" s="47" t="s">
        <v>1</v>
      </c>
      <c r="Z3" s="47" t="s">
        <v>2</v>
      </c>
      <c r="AA3" s="47" t="s">
        <v>5</v>
      </c>
      <c r="AB3" s="47" t="s">
        <v>6</v>
      </c>
      <c r="AC3" s="47" t="s">
        <v>0</v>
      </c>
      <c r="AD3" s="47" t="s">
        <v>1</v>
      </c>
      <c r="AE3" s="47" t="s">
        <v>2</v>
      </c>
      <c r="AF3" s="47" t="s">
        <v>5</v>
      </c>
      <c r="AG3" s="47" t="s">
        <v>6</v>
      </c>
      <c r="AH3" s="47" t="s">
        <v>0</v>
      </c>
      <c r="AI3" s="47" t="s">
        <v>1</v>
      </c>
      <c r="AJ3" s="47" t="s">
        <v>2</v>
      </c>
      <c r="AK3" s="47" t="s">
        <v>5</v>
      </c>
      <c r="AL3" s="47" t="s">
        <v>6</v>
      </c>
      <c r="AM3" s="47" t="s">
        <v>0</v>
      </c>
      <c r="AN3" s="47" t="s">
        <v>1</v>
      </c>
      <c r="AO3" s="47" t="s">
        <v>2</v>
      </c>
      <c r="AP3" s="47" t="s">
        <v>5</v>
      </c>
      <c r="AQ3" s="47" t="s">
        <v>6</v>
      </c>
      <c r="AR3" s="47" t="s">
        <v>0</v>
      </c>
      <c r="AS3" s="47" t="s">
        <v>1</v>
      </c>
      <c r="AT3" s="47" t="s">
        <v>2</v>
      </c>
      <c r="AU3" s="47" t="s">
        <v>5</v>
      </c>
      <c r="AV3" s="47" t="s">
        <v>6</v>
      </c>
      <c r="AW3" s="47" t="s">
        <v>0</v>
      </c>
      <c r="AX3" s="47" t="s">
        <v>1</v>
      </c>
      <c r="AY3" s="47" t="s">
        <v>2</v>
      </c>
      <c r="AZ3" s="47" t="s">
        <v>5</v>
      </c>
      <c r="BA3" s="47" t="s">
        <v>6</v>
      </c>
      <c r="BB3" s="47" t="s">
        <v>0</v>
      </c>
      <c r="BC3" s="47" t="s">
        <v>1</v>
      </c>
      <c r="BD3" s="47" t="s">
        <v>2</v>
      </c>
      <c r="BE3" s="47" t="s">
        <v>5</v>
      </c>
    </row>
    <row r="4" spans="1:202">
      <c r="A4" s="48"/>
      <c r="B4" s="31">
        <v>2007</v>
      </c>
      <c r="C4" s="31">
        <v>2008</v>
      </c>
      <c r="D4" s="31">
        <v>2008</v>
      </c>
      <c r="E4" s="31">
        <v>2008</v>
      </c>
      <c r="F4" s="31">
        <v>2008</v>
      </c>
      <c r="G4" s="31">
        <v>2008</v>
      </c>
      <c r="H4" s="31">
        <v>2009</v>
      </c>
      <c r="I4" s="31">
        <v>2009</v>
      </c>
      <c r="J4" s="31">
        <v>2009</v>
      </c>
      <c r="K4" s="47">
        <v>2009</v>
      </c>
      <c r="L4" s="47">
        <v>2009</v>
      </c>
      <c r="M4" s="31">
        <v>2010</v>
      </c>
      <c r="N4" s="31">
        <v>2010</v>
      </c>
      <c r="O4" s="31">
        <v>2010</v>
      </c>
      <c r="P4" s="47">
        <v>2010</v>
      </c>
      <c r="Q4" s="47">
        <v>2010</v>
      </c>
      <c r="R4" s="31">
        <v>2011</v>
      </c>
      <c r="S4" s="31">
        <v>2011</v>
      </c>
      <c r="T4" s="31">
        <v>2011</v>
      </c>
      <c r="U4" s="47">
        <v>2011</v>
      </c>
      <c r="V4" s="47">
        <v>2011</v>
      </c>
      <c r="W4" s="31">
        <v>2012</v>
      </c>
      <c r="X4" s="31">
        <v>2012</v>
      </c>
      <c r="Y4" s="31">
        <v>2012</v>
      </c>
      <c r="Z4" s="47">
        <v>2012</v>
      </c>
      <c r="AA4" s="47">
        <v>2012</v>
      </c>
      <c r="AB4" s="31">
        <v>2013</v>
      </c>
      <c r="AC4" s="31">
        <v>2013</v>
      </c>
      <c r="AD4" s="31">
        <v>2013</v>
      </c>
      <c r="AE4" s="47">
        <v>2013</v>
      </c>
      <c r="AF4" s="47">
        <v>2013</v>
      </c>
      <c r="AG4" s="31">
        <v>2014</v>
      </c>
      <c r="AH4" s="31">
        <v>2014</v>
      </c>
      <c r="AI4" s="31">
        <v>2014</v>
      </c>
      <c r="AJ4" s="47">
        <v>2014</v>
      </c>
      <c r="AK4" s="47">
        <v>2014</v>
      </c>
      <c r="AL4" s="31">
        <v>2015</v>
      </c>
      <c r="AM4" s="31">
        <v>2015</v>
      </c>
      <c r="AN4" s="31">
        <v>2015</v>
      </c>
      <c r="AO4" s="47">
        <v>2015</v>
      </c>
      <c r="AP4" s="47">
        <v>2015</v>
      </c>
      <c r="AQ4" s="31">
        <v>2016</v>
      </c>
      <c r="AR4" s="31">
        <v>2016</v>
      </c>
      <c r="AS4" s="31">
        <v>2016</v>
      </c>
      <c r="AT4" s="47">
        <v>2016</v>
      </c>
      <c r="AU4" s="47">
        <v>2016</v>
      </c>
      <c r="AV4" s="31">
        <v>2017</v>
      </c>
      <c r="AW4" s="31">
        <v>2017</v>
      </c>
      <c r="AX4" s="31">
        <v>2017</v>
      </c>
      <c r="AY4" s="47">
        <v>2017</v>
      </c>
      <c r="AZ4" s="47">
        <v>2017</v>
      </c>
      <c r="BA4" s="31">
        <v>2018</v>
      </c>
      <c r="BB4" s="31">
        <v>2018</v>
      </c>
      <c r="BC4" s="31">
        <v>2018</v>
      </c>
      <c r="BD4" s="47">
        <v>2018</v>
      </c>
      <c r="BE4" s="47">
        <v>2018</v>
      </c>
    </row>
    <row r="5" spans="1:202" s="46" customFormat="1" ht="6.75" customHeight="1">
      <c r="A5" s="44"/>
      <c r="B5" s="44"/>
      <c r="K5" s="45"/>
      <c r="L5" s="45"/>
      <c r="P5" s="45"/>
      <c r="Q5" s="45"/>
      <c r="U5" s="45"/>
      <c r="V5" s="45"/>
      <c r="Z5" s="45"/>
      <c r="AA5" s="45"/>
      <c r="AE5" s="45"/>
      <c r="AF5" s="45"/>
      <c r="AJ5" s="45"/>
      <c r="AK5" s="45"/>
      <c r="AO5" s="45"/>
      <c r="AP5" s="45"/>
      <c r="AT5" s="45"/>
      <c r="AU5" s="45"/>
      <c r="AY5" s="45"/>
      <c r="AZ5" s="45"/>
      <c r="BD5" s="45"/>
      <c r="BE5" s="4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row>
    <row r="6" spans="1:202" s="26" customFormat="1" ht="6" customHeight="1">
      <c r="A6" s="59"/>
      <c r="B6" s="59"/>
      <c r="C6" s="59"/>
      <c r="D6" s="59"/>
      <c r="E6" s="59"/>
      <c r="F6" s="59"/>
      <c r="G6" s="59"/>
      <c r="H6" s="59"/>
      <c r="I6" s="59"/>
      <c r="J6" s="59"/>
      <c r="K6" s="60"/>
      <c r="L6" s="60"/>
      <c r="M6" s="59"/>
      <c r="N6" s="59"/>
      <c r="O6" s="59"/>
      <c r="P6" s="60"/>
      <c r="Q6" s="60"/>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row>
    <row r="7" spans="1:202" ht="18.600000000000001" customHeight="1">
      <c r="A7" s="35" t="s">
        <v>55</v>
      </c>
      <c r="B7" s="35"/>
      <c r="C7" s="21"/>
      <c r="D7" s="21"/>
      <c r="E7" s="21"/>
      <c r="F7" s="21"/>
      <c r="G7" s="21"/>
      <c r="H7" s="21"/>
      <c r="I7" s="21"/>
      <c r="J7" s="21"/>
      <c r="K7" s="27"/>
      <c r="L7" s="27"/>
      <c r="M7" s="21"/>
      <c r="N7" s="21"/>
      <c r="O7" s="21"/>
      <c r="P7" s="27"/>
      <c r="Q7" s="27"/>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4"/>
      <c r="BG7" s="4"/>
      <c r="BH7" s="4"/>
    </row>
    <row r="8" spans="1:202" ht="5.0999999999999996" customHeight="1">
      <c r="A8" s="61"/>
      <c r="B8" s="61"/>
      <c r="C8" s="61"/>
      <c r="D8" s="61"/>
      <c r="E8" s="61"/>
      <c r="F8" s="61"/>
      <c r="G8" s="61"/>
      <c r="H8" s="61"/>
      <c r="I8" s="61"/>
      <c r="J8" s="61"/>
      <c r="K8" s="62"/>
      <c r="L8" s="62"/>
      <c r="M8" s="61"/>
      <c r="N8" s="61"/>
      <c r="O8" s="61"/>
      <c r="P8" s="62"/>
      <c r="Q8" s="62"/>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row>
    <row r="9" spans="1:202" s="43" customFormat="1">
      <c r="A9" s="40" t="s">
        <v>27</v>
      </c>
      <c r="B9" s="40"/>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1"/>
      <c r="BG9" s="1"/>
      <c r="BH9" s="1"/>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row>
    <row r="10" spans="1:202">
      <c r="A10" s="86"/>
      <c r="B10" s="24"/>
      <c r="C10" s="87"/>
      <c r="D10" s="87"/>
      <c r="E10" s="87"/>
      <c r="F10" s="87"/>
      <c r="G10" s="22"/>
      <c r="H10" s="87"/>
      <c r="I10" s="87"/>
      <c r="J10" s="87"/>
      <c r="L10" s="24"/>
      <c r="M10" s="87"/>
      <c r="N10" s="87"/>
      <c r="O10" s="87"/>
      <c r="Q10" s="24"/>
      <c r="R10" s="87"/>
      <c r="S10" s="87"/>
      <c r="T10" s="87"/>
      <c r="V10" s="27"/>
      <c r="W10" s="87"/>
      <c r="X10" s="87"/>
      <c r="Y10" s="87"/>
      <c r="AA10" s="27"/>
      <c r="AB10" s="87"/>
      <c r="AC10" s="87"/>
      <c r="AD10" s="87"/>
      <c r="AF10" s="27"/>
      <c r="AG10" s="87"/>
      <c r="AH10" s="87"/>
      <c r="AI10" s="87"/>
      <c r="AK10" s="27"/>
      <c r="AL10" s="87"/>
      <c r="AM10" s="87"/>
      <c r="AN10" s="87"/>
      <c r="AP10" s="27"/>
      <c r="AQ10" s="87"/>
      <c r="AR10" s="87"/>
      <c r="AS10" s="87"/>
      <c r="AU10" s="27"/>
      <c r="AV10" s="87"/>
      <c r="AW10" s="87"/>
      <c r="AX10" s="87"/>
      <c r="AZ10" s="27"/>
      <c r="BA10" s="87"/>
      <c r="BB10" s="87"/>
      <c r="BC10" s="87"/>
      <c r="BE10" s="27"/>
    </row>
    <row r="11" spans="1:202">
      <c r="A11" s="69" t="s">
        <v>78</v>
      </c>
      <c r="B11" s="37">
        <v>14711</v>
      </c>
      <c r="C11" s="70">
        <v>3473</v>
      </c>
      <c r="D11" s="70">
        <v>3306</v>
      </c>
      <c r="E11" s="70">
        <v>3379</v>
      </c>
      <c r="F11" s="70">
        <v>3103</v>
      </c>
      <c r="G11" s="37">
        <v>13260</v>
      </c>
      <c r="H11" s="70">
        <v>3077</v>
      </c>
      <c r="I11" s="70">
        <v>2972</v>
      </c>
      <c r="J11" s="70">
        <v>3051</v>
      </c>
      <c r="K11" s="70">
        <v>2917</v>
      </c>
      <c r="L11" s="37">
        <v>12017</v>
      </c>
      <c r="M11" s="70">
        <v>2732</v>
      </c>
      <c r="N11" s="70">
        <v>2717</v>
      </c>
      <c r="O11" s="70">
        <v>2629</v>
      </c>
      <c r="P11" s="70">
        <v>2621</v>
      </c>
      <c r="Q11" s="37">
        <v>10699</v>
      </c>
      <c r="R11" s="70">
        <v>2521</v>
      </c>
      <c r="S11" s="70">
        <v>2415</v>
      </c>
      <c r="T11" s="70">
        <v>2482</v>
      </c>
      <c r="U11" s="70">
        <v>2339</v>
      </c>
      <c r="V11" s="37">
        <v>9758</v>
      </c>
      <c r="W11" s="70">
        <v>2360</v>
      </c>
      <c r="X11" s="70">
        <v>2228</v>
      </c>
      <c r="Y11" s="70">
        <v>2127</v>
      </c>
      <c r="Z11" s="70">
        <v>1979</v>
      </c>
      <c r="AA11" s="37">
        <v>8694</v>
      </c>
      <c r="AB11" s="70">
        <v>1788</v>
      </c>
      <c r="AC11" s="70">
        <v>1805</v>
      </c>
      <c r="AD11" s="70">
        <v>1712</v>
      </c>
      <c r="AE11" s="70">
        <v>1742</v>
      </c>
      <c r="AF11" s="37">
        <v>7047</v>
      </c>
      <c r="AG11" s="70">
        <v>1608</v>
      </c>
      <c r="AH11" s="70">
        <v>1522</v>
      </c>
      <c r="AI11" s="70">
        <v>1588</v>
      </c>
      <c r="AJ11" s="70">
        <v>1482</v>
      </c>
      <c r="AK11" s="37">
        <v>6200</v>
      </c>
      <c r="AL11" s="70">
        <v>1459</v>
      </c>
      <c r="AM11" s="70">
        <v>1396</v>
      </c>
      <c r="AN11" s="70">
        <v>1373</v>
      </c>
      <c r="AO11" s="70">
        <v>1379</v>
      </c>
      <c r="AP11" s="37">
        <v>5607</v>
      </c>
      <c r="AQ11" s="70">
        <v>1316</v>
      </c>
      <c r="AR11" s="70">
        <v>1257</v>
      </c>
      <c r="AS11" s="70">
        <v>1297</v>
      </c>
      <c r="AT11" s="70">
        <v>1136</v>
      </c>
      <c r="AU11" s="37">
        <v>5006</v>
      </c>
      <c r="AV11" s="70">
        <v>1177</v>
      </c>
      <c r="AW11" s="70">
        <v>1098</v>
      </c>
      <c r="AX11" s="70">
        <v>1132</v>
      </c>
      <c r="AY11" s="70">
        <v>1068</v>
      </c>
      <c r="AZ11" s="37">
        <v>4475</v>
      </c>
      <c r="BA11" s="70">
        <v>1055</v>
      </c>
      <c r="BB11" s="70">
        <v>1010</v>
      </c>
      <c r="BC11" s="70">
        <v>960</v>
      </c>
      <c r="BD11" s="70">
        <v>989</v>
      </c>
      <c r="BE11" s="37">
        <v>4014</v>
      </c>
    </row>
    <row r="12" spans="1:202">
      <c r="A12" s="71" t="s">
        <v>7</v>
      </c>
      <c r="B12" s="24"/>
      <c r="C12" s="72"/>
      <c r="D12" s="72">
        <f>D11/C11-1</f>
        <v>-4.8085228908724464E-2</v>
      </c>
      <c r="E12" s="72">
        <f>E11/D11-1</f>
        <v>2.2081064730792521E-2</v>
      </c>
      <c r="F12" s="72">
        <f>F11/E11-1</f>
        <v>-8.1680970701390909E-2</v>
      </c>
      <c r="G12" s="24"/>
      <c r="H12" s="72">
        <f>H11/F11-1</f>
        <v>-8.3789880760554158E-3</v>
      </c>
      <c r="I12" s="72">
        <f>I11/H11-1</f>
        <v>-3.412414689632759E-2</v>
      </c>
      <c r="J12" s="72">
        <f>J11/I11-1</f>
        <v>2.6581426648721429E-2</v>
      </c>
      <c r="K12" s="72">
        <f>K11/J11-1</f>
        <v>-4.3920026220911179E-2</v>
      </c>
      <c r="L12" s="27"/>
      <c r="M12" s="72">
        <f>M11/K11-1</f>
        <v>-6.3421323277339736E-2</v>
      </c>
      <c r="N12" s="72">
        <f>N11/M11-1</f>
        <v>-5.4904831625183226E-3</v>
      </c>
      <c r="O12" s="72">
        <f>O11/N11-1</f>
        <v>-3.2388663967611309E-2</v>
      </c>
      <c r="P12" s="72">
        <f>P11/O11-1</f>
        <v>-3.042982122479998E-3</v>
      </c>
      <c r="Q12" s="27"/>
      <c r="R12" s="72">
        <v>-3.815337657382678E-2</v>
      </c>
      <c r="S12" s="72">
        <v>-4.2046806822689464E-2</v>
      </c>
      <c r="T12" s="72">
        <v>2.7743271221532195E-2</v>
      </c>
      <c r="U12" s="72">
        <v>-5.7614826752618864E-2</v>
      </c>
      <c r="V12" s="27"/>
      <c r="W12" s="72">
        <v>8.9781958101753379E-3</v>
      </c>
      <c r="X12" s="72">
        <v>-5.5932203389830515E-2</v>
      </c>
      <c r="Y12" s="72">
        <v>-4.5332136445242366E-2</v>
      </c>
      <c r="Z12" s="72">
        <v>-6.9581570286788907E-2</v>
      </c>
      <c r="AA12" s="27"/>
      <c r="AB12" s="72">
        <v>-9.6513390601313809E-2</v>
      </c>
      <c r="AC12" s="72">
        <v>9.5078299776285569E-3</v>
      </c>
      <c r="AD12" s="72">
        <v>-5.1523545706371188E-2</v>
      </c>
      <c r="AE12" s="72">
        <v>1.7523364485981352E-2</v>
      </c>
      <c r="AF12" s="27"/>
      <c r="AG12" s="72">
        <v>-7.6923076923076872E-2</v>
      </c>
      <c r="AH12" s="72">
        <v>-5.3482587064676568E-2</v>
      </c>
      <c r="AI12" s="72">
        <v>4.3363994743758294E-2</v>
      </c>
      <c r="AJ12" s="72">
        <v>-6.6750629722921895E-2</v>
      </c>
      <c r="AK12" s="27"/>
      <c r="AL12" s="72">
        <v>-1.5519568151147078E-2</v>
      </c>
      <c r="AM12" s="72">
        <v>-4.3180260452364672E-2</v>
      </c>
      <c r="AN12" s="72">
        <v>-1.6475644699140424E-2</v>
      </c>
      <c r="AO12" s="72">
        <v>4.3699927166787056E-3</v>
      </c>
      <c r="AP12" s="27"/>
      <c r="AQ12" s="72">
        <v>-4.5685279187817285E-2</v>
      </c>
      <c r="AR12" s="72">
        <v>-4.4832826747720378E-2</v>
      </c>
      <c r="AS12" s="72">
        <v>3.1821797931583129E-2</v>
      </c>
      <c r="AT12" s="72">
        <v>-0.12413261372397844</v>
      </c>
      <c r="AU12" s="27"/>
      <c r="AV12" s="72">
        <v>3.6091549295774739E-2</v>
      </c>
      <c r="AW12" s="72">
        <v>-6.7119796091758666E-2</v>
      </c>
      <c r="AX12" s="72">
        <v>3.0965391621129434E-2</v>
      </c>
      <c r="AY12" s="72">
        <v>-5.6537102473498191E-2</v>
      </c>
      <c r="AZ12" s="27"/>
      <c r="BA12" s="72">
        <v>-1.2172284644194731E-2</v>
      </c>
      <c r="BB12" s="72">
        <v>-4.2654028436018954E-2</v>
      </c>
      <c r="BC12" s="72">
        <v>-4.9504950495049549E-2</v>
      </c>
      <c r="BD12" s="72">
        <v>3.0208333333333393E-2</v>
      </c>
      <c r="BE12" s="27"/>
    </row>
    <row r="13" spans="1:202">
      <c r="A13" s="71" t="s">
        <v>8</v>
      </c>
      <c r="B13" s="24"/>
      <c r="C13" s="73"/>
      <c r="D13" s="73"/>
      <c r="E13" s="73"/>
      <c r="F13" s="73"/>
      <c r="G13" s="24">
        <f t="shared" ref="G13:N13" si="0">G11/B11-1</f>
        <v>-9.8633675480932603E-2</v>
      </c>
      <c r="H13" s="73">
        <f t="shared" si="0"/>
        <v>-0.11402245896919094</v>
      </c>
      <c r="I13" s="73">
        <f t="shared" si="0"/>
        <v>-0.10102843315184518</v>
      </c>
      <c r="J13" s="73">
        <f t="shared" si="0"/>
        <v>-9.7070139094406649E-2</v>
      </c>
      <c r="K13" s="72">
        <f t="shared" si="0"/>
        <v>-5.9941991621011881E-2</v>
      </c>
      <c r="L13" s="24">
        <f t="shared" si="0"/>
        <v>-9.3740573152337858E-2</v>
      </c>
      <c r="M13" s="73">
        <f t="shared" si="0"/>
        <v>-0.11212219694507641</v>
      </c>
      <c r="N13" s="73">
        <f t="shared" si="0"/>
        <v>-8.5800807537012136E-2</v>
      </c>
      <c r="O13" s="73">
        <f t="shared" ref="O13:P13" si="1">O11/J11-1</f>
        <v>-0.13831530645689938</v>
      </c>
      <c r="P13" s="72">
        <f t="shared" si="1"/>
        <v>-0.10147411724374356</v>
      </c>
      <c r="Q13" s="24">
        <v>-0.10967795622867604</v>
      </c>
      <c r="R13" s="73">
        <v>-7.7232796486090827E-2</v>
      </c>
      <c r="S13" s="73">
        <v>-0.11115200588884799</v>
      </c>
      <c r="T13" s="73">
        <v>-5.5914796500570518E-2</v>
      </c>
      <c r="U13" s="72">
        <v>-0.10759252193819158</v>
      </c>
      <c r="V13" s="24">
        <v>-8.7952145060286036E-2</v>
      </c>
      <c r="W13" s="73">
        <v>-6.3863546211820665E-2</v>
      </c>
      <c r="X13" s="73">
        <v>-7.7432712215320887E-2</v>
      </c>
      <c r="Y13" s="73">
        <v>-0.14302981466559228</v>
      </c>
      <c r="Z13" s="72">
        <v>-0.15391192817443355</v>
      </c>
      <c r="AA13" s="24">
        <v>-0.10903873744619796</v>
      </c>
      <c r="AB13" s="73">
        <v>-0.24237288135593216</v>
      </c>
      <c r="AC13" s="73">
        <v>-0.18985637342908435</v>
      </c>
      <c r="AD13" s="73">
        <v>-0.19511048425011757</v>
      </c>
      <c r="AE13" s="72">
        <v>-0.11975745325922182</v>
      </c>
      <c r="AF13" s="24">
        <v>-0.18944099378881984</v>
      </c>
      <c r="AG13" s="73">
        <v>-0.10067114093959728</v>
      </c>
      <c r="AH13" s="73">
        <v>-0.15678670360110802</v>
      </c>
      <c r="AI13" s="73">
        <v>-7.2429906542056055E-2</v>
      </c>
      <c r="AJ13" s="72">
        <v>-0.14925373134328357</v>
      </c>
      <c r="AK13" s="24">
        <v>-0.12019298992479066</v>
      </c>
      <c r="AL13" s="73">
        <v>-9.2661691542288538E-2</v>
      </c>
      <c r="AM13" s="73">
        <v>-8.2785808147174733E-2</v>
      </c>
      <c r="AN13" s="73">
        <v>-0.13539042821158687</v>
      </c>
      <c r="AO13" s="72">
        <v>-6.9500674763832704E-2</v>
      </c>
      <c r="AP13" s="24">
        <v>-9.5645161290322633E-2</v>
      </c>
      <c r="AQ13" s="73">
        <v>-9.8012337217272094E-2</v>
      </c>
      <c r="AR13" s="73">
        <v>-9.957020057306587E-2</v>
      </c>
      <c r="AS13" s="73">
        <v>-5.5353241077931492E-2</v>
      </c>
      <c r="AT13" s="72">
        <v>-0.17621464829586653</v>
      </c>
      <c r="AU13" s="24">
        <v>-0.10718744426609594</v>
      </c>
      <c r="AV13" s="73">
        <v>-0.10562310030395139</v>
      </c>
      <c r="AW13" s="73">
        <v>-0.12649164677804292</v>
      </c>
      <c r="AX13" s="73">
        <v>-0.1272166538164996</v>
      </c>
      <c r="AY13" s="72">
        <v>-5.9859154929577496E-2</v>
      </c>
      <c r="AZ13" s="24">
        <v>-0.10607271274470631</v>
      </c>
      <c r="BA13" s="73">
        <v>-0.10365335598980463</v>
      </c>
      <c r="BB13" s="73">
        <v>-8.0145719489981837E-2</v>
      </c>
      <c r="BC13" s="73">
        <v>-0.15194346289752647</v>
      </c>
      <c r="BD13" s="72">
        <v>-7.3970037453183535E-2</v>
      </c>
      <c r="BE13" s="24">
        <v>-0.10301675977653635</v>
      </c>
    </row>
    <row r="14" spans="1:202">
      <c r="A14" s="71"/>
      <c r="B14" s="24"/>
      <c r="C14" s="73"/>
      <c r="D14" s="73"/>
      <c r="E14" s="73"/>
      <c r="F14" s="73"/>
      <c r="G14" s="24"/>
      <c r="H14" s="73"/>
      <c r="I14" s="73"/>
      <c r="J14" s="73"/>
      <c r="K14" s="72"/>
      <c r="L14" s="24"/>
      <c r="M14" s="73"/>
      <c r="N14" s="73"/>
      <c r="O14" s="73"/>
      <c r="P14" s="72"/>
      <c r="Q14" s="24"/>
      <c r="R14" s="73"/>
      <c r="S14" s="73"/>
      <c r="T14" s="73"/>
      <c r="U14" s="72"/>
      <c r="V14" s="24"/>
      <c r="W14" s="73"/>
      <c r="X14" s="73"/>
      <c r="Y14" s="73"/>
      <c r="Z14" s="72"/>
      <c r="AA14" s="24"/>
      <c r="AB14" s="73"/>
      <c r="AC14" s="73"/>
      <c r="AD14" s="73"/>
      <c r="AE14" s="72"/>
      <c r="AF14" s="24"/>
      <c r="AG14" s="73"/>
      <c r="AH14" s="73"/>
      <c r="AI14" s="73"/>
      <c r="AJ14" s="72"/>
      <c r="AK14" s="24"/>
      <c r="AL14" s="73"/>
      <c r="AM14" s="73"/>
      <c r="AN14" s="73"/>
      <c r="AO14" s="72"/>
      <c r="AP14" s="24"/>
      <c r="AQ14" s="73"/>
      <c r="AR14" s="73"/>
      <c r="AS14" s="73"/>
      <c r="AT14" s="72"/>
      <c r="AU14" s="24"/>
      <c r="AV14" s="73"/>
      <c r="AW14" s="73"/>
      <c r="AX14" s="73"/>
      <c r="AY14" s="72"/>
      <c r="AZ14" s="24"/>
      <c r="BA14" s="73"/>
      <c r="BB14" s="73"/>
      <c r="BC14" s="73"/>
      <c r="BD14" s="72"/>
      <c r="BE14" s="24"/>
    </row>
    <row r="15" spans="1:202">
      <c r="A15" s="69" t="s">
        <v>47</v>
      </c>
      <c r="B15" s="38">
        <v>6411</v>
      </c>
      <c r="C15" s="88">
        <v>1673</v>
      </c>
      <c r="D15" s="88">
        <v>1651</v>
      </c>
      <c r="E15" s="88">
        <v>1719</v>
      </c>
      <c r="F15" s="70">
        <f>G15-E15-D15-C15</f>
        <v>1648</v>
      </c>
      <c r="G15" s="38">
        <v>6691</v>
      </c>
      <c r="H15" s="88">
        <v>1654</v>
      </c>
      <c r="I15" s="88">
        <v>1659</v>
      </c>
      <c r="J15" s="88">
        <v>1731</v>
      </c>
      <c r="K15" s="70">
        <f>L15-J15-I15-H15</f>
        <v>1674</v>
      </c>
      <c r="L15" s="37">
        <v>6718</v>
      </c>
      <c r="M15" s="88">
        <v>1623</v>
      </c>
      <c r="N15" s="88">
        <v>1634</v>
      </c>
      <c r="O15" s="88">
        <v>1646</v>
      </c>
      <c r="P15" s="70">
        <f>Q15-O15-N15-M15</f>
        <v>1644</v>
      </c>
      <c r="Q15" s="37">
        <v>6547</v>
      </c>
      <c r="R15" s="88">
        <v>1577</v>
      </c>
      <c r="S15" s="88">
        <v>1535</v>
      </c>
      <c r="T15" s="88">
        <v>1602</v>
      </c>
      <c r="U15" s="70">
        <v>1526</v>
      </c>
      <c r="V15" s="37">
        <v>6240</v>
      </c>
      <c r="W15" s="88">
        <v>1543</v>
      </c>
      <c r="X15" s="88">
        <v>1516</v>
      </c>
      <c r="Y15" s="88">
        <v>1595</v>
      </c>
      <c r="Z15" s="70">
        <v>1571</v>
      </c>
      <c r="AA15" s="37">
        <v>6225</v>
      </c>
      <c r="AB15" s="88">
        <v>1503</v>
      </c>
      <c r="AC15" s="88">
        <v>1550</v>
      </c>
      <c r="AD15" s="88">
        <v>1521</v>
      </c>
      <c r="AE15" s="70">
        <v>1541</v>
      </c>
      <c r="AF15" s="37">
        <v>6115</v>
      </c>
      <c r="AG15" s="88">
        <v>1467</v>
      </c>
      <c r="AH15" s="88">
        <v>1424</v>
      </c>
      <c r="AI15" s="88">
        <v>1498</v>
      </c>
      <c r="AJ15" s="70">
        <v>1440</v>
      </c>
      <c r="AK15" s="37">
        <v>5829</v>
      </c>
      <c r="AL15" s="88">
        <v>1429</v>
      </c>
      <c r="AM15" s="88">
        <v>1386</v>
      </c>
      <c r="AN15" s="88">
        <v>1410</v>
      </c>
      <c r="AO15" s="70">
        <v>1403</v>
      </c>
      <c r="AP15" s="37">
        <v>5628</v>
      </c>
      <c r="AQ15" s="88">
        <v>1348</v>
      </c>
      <c r="AR15" s="88">
        <v>1314</v>
      </c>
      <c r="AS15" s="88">
        <v>1383</v>
      </c>
      <c r="AT15" s="70">
        <v>1252</v>
      </c>
      <c r="AU15" s="37">
        <v>5297</v>
      </c>
      <c r="AV15" s="88">
        <v>1281</v>
      </c>
      <c r="AW15" s="88">
        <v>1220</v>
      </c>
      <c r="AX15" s="88">
        <v>1266</v>
      </c>
      <c r="AY15" s="70">
        <v>1205</v>
      </c>
      <c r="AZ15" s="37">
        <v>4972</v>
      </c>
      <c r="BA15" s="88">
        <v>1191</v>
      </c>
      <c r="BB15" s="88">
        <v>1151</v>
      </c>
      <c r="BC15" s="88">
        <v>1125</v>
      </c>
      <c r="BD15" s="70">
        <v>1160</v>
      </c>
      <c r="BE15" s="37">
        <v>4627</v>
      </c>
    </row>
    <row r="16" spans="1:202">
      <c r="A16" s="71" t="s">
        <v>7</v>
      </c>
      <c r="B16" s="24"/>
      <c r="C16" s="72"/>
      <c r="D16" s="72">
        <f>D15/C15-1</f>
        <v>-1.3150029886431547E-2</v>
      </c>
      <c r="E16" s="72">
        <f>E15/D15-1</f>
        <v>4.1187159297395581E-2</v>
      </c>
      <c r="F16" s="72">
        <f>F15/E15-1</f>
        <v>-4.1303083187899992E-2</v>
      </c>
      <c r="G16" s="24"/>
      <c r="H16" s="72">
        <f>H15/F15-1</f>
        <v>3.6407766990291801E-3</v>
      </c>
      <c r="I16" s="72">
        <f>I15/H15-1</f>
        <v>3.0229746070133956E-3</v>
      </c>
      <c r="J16" s="72">
        <f>J15/I15-1</f>
        <v>4.3399638336347302E-2</v>
      </c>
      <c r="K16" s="72">
        <f>K15/J15-1</f>
        <v>-3.2928942807625705E-2</v>
      </c>
      <c r="L16" s="27"/>
      <c r="M16" s="72">
        <f>M15/K15-1</f>
        <v>-3.046594982078854E-2</v>
      </c>
      <c r="N16" s="72">
        <f>N15/M15-1</f>
        <v>6.7775723967959944E-3</v>
      </c>
      <c r="O16" s="72">
        <f>O15/N15-1</f>
        <v>7.3439412484699318E-3</v>
      </c>
      <c r="P16" s="72">
        <f>P15/O15-1</f>
        <v>-1.2150668286755595E-3</v>
      </c>
      <c r="Q16" s="27"/>
      <c r="R16" s="72">
        <v>-4.0754257907542613E-2</v>
      </c>
      <c r="S16" s="72">
        <v>-2.6632847178186481E-2</v>
      </c>
      <c r="T16" s="72">
        <v>4.3648208469055483E-2</v>
      </c>
      <c r="U16" s="72">
        <v>-4.7440699126092389E-2</v>
      </c>
      <c r="V16" s="27"/>
      <c r="W16" s="72">
        <v>1.1140235910878094E-2</v>
      </c>
      <c r="X16" s="72">
        <v>-1.7498379779650075E-2</v>
      </c>
      <c r="Y16" s="72">
        <v>5.2110817941952492E-2</v>
      </c>
      <c r="Z16" s="72">
        <v>-1.5047021943573657E-2</v>
      </c>
      <c r="AA16" s="27"/>
      <c r="AB16" s="72">
        <v>-4.3284532145130505E-2</v>
      </c>
      <c r="AC16" s="72">
        <v>3.1270791749833604E-2</v>
      </c>
      <c r="AD16" s="72">
        <v>-1.8709677419354809E-2</v>
      </c>
      <c r="AE16" s="72">
        <v>1.3149243918474607E-2</v>
      </c>
      <c r="AF16" s="27"/>
      <c r="AG16" s="72">
        <v>-4.8020765736534687E-2</v>
      </c>
      <c r="AH16" s="72">
        <v>-2.9311520109066125E-2</v>
      </c>
      <c r="AI16" s="72">
        <v>5.1966292134831393E-2</v>
      </c>
      <c r="AJ16" s="72">
        <v>-3.8718291054739673E-2</v>
      </c>
      <c r="AK16" s="27"/>
      <c r="AL16" s="72">
        <v>-7.6388888888888618E-3</v>
      </c>
      <c r="AM16" s="72">
        <v>-3.0090972708187502E-2</v>
      </c>
      <c r="AN16" s="72">
        <v>1.7316017316017396E-2</v>
      </c>
      <c r="AO16" s="72">
        <v>-4.9645390070921502E-3</v>
      </c>
      <c r="AP16" s="27"/>
      <c r="AQ16" s="72">
        <v>-3.9201710620099806E-2</v>
      </c>
      <c r="AR16" s="72">
        <v>-2.5222551928783421E-2</v>
      </c>
      <c r="AS16" s="72">
        <v>5.2511415525114069E-2</v>
      </c>
      <c r="AT16" s="72">
        <v>-9.4721619667389678E-2</v>
      </c>
      <c r="AU16" s="27"/>
      <c r="AV16" s="72">
        <v>2.3162939297124652E-2</v>
      </c>
      <c r="AW16" s="72">
        <v>-4.7619047619047672E-2</v>
      </c>
      <c r="AX16" s="72">
        <v>3.770491803278686E-2</v>
      </c>
      <c r="AY16" s="72">
        <v>-4.8183254344391746E-2</v>
      </c>
      <c r="AZ16" s="27"/>
      <c r="BA16" s="72">
        <v>-1.1618257261410747E-2</v>
      </c>
      <c r="BB16" s="72">
        <v>-3.3585222502099055E-2</v>
      </c>
      <c r="BC16" s="72">
        <v>-2.2589052997393555E-2</v>
      </c>
      <c r="BD16" s="72">
        <v>3.1111111111111089E-2</v>
      </c>
      <c r="BE16" s="27"/>
    </row>
    <row r="17" spans="1:57">
      <c r="A17" s="71" t="s">
        <v>8</v>
      </c>
      <c r="B17" s="24"/>
      <c r="C17" s="73"/>
      <c r="D17" s="73"/>
      <c r="E17" s="73"/>
      <c r="F17" s="73"/>
      <c r="G17" s="24">
        <f t="shared" ref="G17:N17" si="2">G15/B15-1</f>
        <v>4.3674933707689823E-2</v>
      </c>
      <c r="H17" s="73">
        <f t="shared" si="2"/>
        <v>-1.1356843992827215E-2</v>
      </c>
      <c r="I17" s="73">
        <f t="shared" si="2"/>
        <v>4.8455481526348265E-3</v>
      </c>
      <c r="J17" s="73">
        <f t="shared" si="2"/>
        <v>6.9808027923210503E-3</v>
      </c>
      <c r="K17" s="72">
        <f t="shared" si="2"/>
        <v>1.5776699029126151E-2</v>
      </c>
      <c r="L17" s="24">
        <f t="shared" si="2"/>
        <v>4.0352712599014406E-3</v>
      </c>
      <c r="M17" s="73">
        <f t="shared" si="2"/>
        <v>-1.8742442563482453E-2</v>
      </c>
      <c r="N17" s="73">
        <f t="shared" si="2"/>
        <v>-1.5069318866787196E-2</v>
      </c>
      <c r="O17" s="73">
        <f t="shared" ref="O17:P17" si="3">O15/J15-1</f>
        <v>-4.9104563835932979E-2</v>
      </c>
      <c r="P17" s="72">
        <f t="shared" si="3"/>
        <v>-1.7921146953404965E-2</v>
      </c>
      <c r="Q17" s="24">
        <v>-2.5454004167907107E-2</v>
      </c>
      <c r="R17" s="73">
        <v>-2.8342575477510734E-2</v>
      </c>
      <c r="S17" s="73">
        <v>-6.0587515299877603E-2</v>
      </c>
      <c r="T17" s="73">
        <v>-2.6731470230862753E-2</v>
      </c>
      <c r="U17" s="72">
        <v>-7.1776155717761525E-2</v>
      </c>
      <c r="V17" s="24">
        <v>-4.6891706124942756E-2</v>
      </c>
      <c r="W17" s="73">
        <v>-2.1559923906150913E-2</v>
      </c>
      <c r="X17" s="73">
        <v>-1.2377850162866411E-2</v>
      </c>
      <c r="Y17" s="73">
        <v>-4.3695380774032566E-3</v>
      </c>
      <c r="Z17" s="72">
        <v>2.9488859764089215E-2</v>
      </c>
      <c r="AA17" s="24">
        <v>-2.4038461538461453E-3</v>
      </c>
      <c r="AB17" s="73">
        <v>-2.5923525599481523E-2</v>
      </c>
      <c r="AC17" s="73">
        <v>2.2427440633245421E-2</v>
      </c>
      <c r="AD17" s="73">
        <v>-4.6394984326018851E-2</v>
      </c>
      <c r="AE17" s="72">
        <v>-1.9096117122851641E-2</v>
      </c>
      <c r="AF17" s="24">
        <v>-1.7670682730923648E-2</v>
      </c>
      <c r="AG17" s="73">
        <v>-2.39520958083832E-2</v>
      </c>
      <c r="AH17" s="73">
        <v>-8.1290322580645169E-2</v>
      </c>
      <c r="AI17" s="73">
        <v>-1.5121630506245931E-2</v>
      </c>
      <c r="AJ17" s="72">
        <v>-6.5541855937702787E-2</v>
      </c>
      <c r="AK17" s="24">
        <v>-4.6770237121831593E-2</v>
      </c>
      <c r="AL17" s="73">
        <v>-2.5903203817314258E-2</v>
      </c>
      <c r="AM17" s="73">
        <v>-2.6685393258427004E-2</v>
      </c>
      <c r="AN17" s="73">
        <v>-5.8744993324432615E-2</v>
      </c>
      <c r="AO17" s="72">
        <v>-2.5694444444444464E-2</v>
      </c>
      <c r="AP17" s="24">
        <v>-3.4482758620689613E-2</v>
      </c>
      <c r="AQ17" s="73">
        <v>-5.6682995101469569E-2</v>
      </c>
      <c r="AR17" s="73">
        <v>-5.1948051948051965E-2</v>
      </c>
      <c r="AS17" s="73">
        <v>-1.9148936170212738E-2</v>
      </c>
      <c r="AT17" s="72">
        <v>-0.10762651461154671</v>
      </c>
      <c r="AU17" s="24">
        <v>-5.8813077469793917E-2</v>
      </c>
      <c r="AV17" s="73">
        <v>-4.9703264094955513E-2</v>
      </c>
      <c r="AW17" s="73">
        <v>-7.1537290715372959E-2</v>
      </c>
      <c r="AX17" s="73">
        <v>-8.4598698481561874E-2</v>
      </c>
      <c r="AY17" s="72">
        <v>-3.7539936102236382E-2</v>
      </c>
      <c r="AZ17" s="24">
        <v>-6.1355484236360169E-2</v>
      </c>
      <c r="BA17" s="73">
        <v>-7.0257611241217766E-2</v>
      </c>
      <c r="BB17" s="73">
        <v>-5.6557377049180291E-2</v>
      </c>
      <c r="BC17" s="73">
        <v>-0.11137440758293837</v>
      </c>
      <c r="BD17" s="72">
        <v>-3.7344398340248941E-2</v>
      </c>
      <c r="BE17" s="24">
        <v>-6.938857602574422E-2</v>
      </c>
    </row>
    <row r="18" spans="1:57">
      <c r="A18" s="71"/>
      <c r="B18" s="24"/>
      <c r="C18" s="73"/>
      <c r="D18" s="73"/>
      <c r="E18" s="73"/>
      <c r="F18" s="73"/>
      <c r="G18" s="24"/>
      <c r="H18" s="73"/>
      <c r="I18" s="73"/>
      <c r="J18" s="73"/>
      <c r="K18" s="72"/>
      <c r="L18" s="24"/>
      <c r="M18" s="73"/>
      <c r="N18" s="73"/>
      <c r="O18" s="73"/>
      <c r="P18" s="72"/>
      <c r="Q18" s="24"/>
      <c r="R18" s="73"/>
      <c r="S18" s="73"/>
      <c r="T18" s="73"/>
      <c r="U18" s="72"/>
      <c r="V18" s="24"/>
      <c r="W18" s="73"/>
      <c r="X18" s="73"/>
      <c r="Y18" s="73"/>
      <c r="Z18" s="72"/>
      <c r="AA18" s="24">
        <v>-14</v>
      </c>
      <c r="AB18" s="73"/>
      <c r="AC18" s="73"/>
      <c r="AD18" s="73"/>
      <c r="AE18" s="72"/>
      <c r="AF18" s="24"/>
      <c r="AG18" s="73"/>
      <c r="AH18" s="73"/>
      <c r="AI18" s="73"/>
      <c r="AJ18" s="72"/>
      <c r="AK18" s="24"/>
      <c r="AL18" s="73"/>
      <c r="AM18" s="73"/>
      <c r="AN18" s="73"/>
      <c r="AO18" s="72"/>
      <c r="AP18" s="24"/>
      <c r="AQ18" s="73"/>
      <c r="AR18" s="73"/>
      <c r="AS18" s="73"/>
      <c r="AT18" s="72"/>
      <c r="AU18" s="24"/>
      <c r="AV18" s="73"/>
      <c r="AW18" s="73"/>
      <c r="AX18" s="73"/>
      <c r="AY18" s="72"/>
      <c r="AZ18" s="24"/>
      <c r="BA18" s="73"/>
      <c r="BB18" s="73"/>
      <c r="BC18" s="73"/>
      <c r="BD18" s="72"/>
      <c r="BE18" s="24"/>
    </row>
    <row r="19" spans="1:57">
      <c r="A19" s="89" t="s">
        <v>79</v>
      </c>
      <c r="B19" s="38">
        <v>2749</v>
      </c>
      <c r="C19" s="76">
        <v>2701</v>
      </c>
      <c r="D19" s="76">
        <v>2670</v>
      </c>
      <c r="E19" s="76">
        <v>2634</v>
      </c>
      <c r="F19" s="76">
        <v>2604</v>
      </c>
      <c r="G19" s="38">
        <v>2604</v>
      </c>
      <c r="H19" s="76">
        <v>2571</v>
      </c>
      <c r="I19" s="76">
        <v>2540</v>
      </c>
      <c r="J19" s="76">
        <v>2513</v>
      </c>
      <c r="K19" s="70">
        <v>2483</v>
      </c>
      <c r="L19" s="37">
        <v>2483</v>
      </c>
      <c r="M19" s="76">
        <v>2454</v>
      </c>
      <c r="N19" s="76">
        <v>2422</v>
      </c>
      <c r="O19" s="76">
        <v>2394</v>
      </c>
      <c r="P19" s="70">
        <v>2366</v>
      </c>
      <c r="Q19" s="37">
        <v>2366</v>
      </c>
      <c r="R19" s="76">
        <v>2358</v>
      </c>
      <c r="S19" s="76">
        <v>2356</v>
      </c>
      <c r="T19" s="76">
        <v>2363</v>
      </c>
      <c r="U19" s="70">
        <v>2367</v>
      </c>
      <c r="V19" s="37">
        <v>2367</v>
      </c>
      <c r="W19" s="76">
        <v>2368</v>
      </c>
      <c r="X19" s="76">
        <v>2335</v>
      </c>
      <c r="Y19" s="76">
        <v>2299</v>
      </c>
      <c r="Z19" s="70">
        <v>2268</v>
      </c>
      <c r="AA19" s="37">
        <v>2268</v>
      </c>
      <c r="AB19" s="76">
        <v>2242</v>
      </c>
      <c r="AC19" s="76">
        <v>2224</v>
      </c>
      <c r="AD19" s="76">
        <v>2223</v>
      </c>
      <c r="AE19" s="70">
        <v>2216</v>
      </c>
      <c r="AF19" s="37">
        <v>2216</v>
      </c>
      <c r="AG19" s="76">
        <v>2214</v>
      </c>
      <c r="AH19" s="76">
        <v>2205</v>
      </c>
      <c r="AI19" s="76">
        <v>2205</v>
      </c>
      <c r="AJ19" s="70">
        <v>2205</v>
      </c>
      <c r="AK19" s="37">
        <v>2205</v>
      </c>
      <c r="AL19" s="76">
        <v>2125</v>
      </c>
      <c r="AM19" s="76">
        <v>2117</v>
      </c>
      <c r="AN19" s="76">
        <v>2103</v>
      </c>
      <c r="AO19" s="70">
        <v>2087</v>
      </c>
      <c r="AP19" s="37">
        <v>2087</v>
      </c>
      <c r="AQ19" s="76">
        <v>2068</v>
      </c>
      <c r="AR19" s="76">
        <v>2050</v>
      </c>
      <c r="AS19" s="76">
        <v>2031</v>
      </c>
      <c r="AT19" s="70">
        <v>2010</v>
      </c>
      <c r="AU19" s="37">
        <v>2010</v>
      </c>
      <c r="AV19" s="76">
        <v>1986</v>
      </c>
      <c r="AW19" s="76">
        <v>1961</v>
      </c>
      <c r="AX19" s="76">
        <v>1942</v>
      </c>
      <c r="AY19" s="70">
        <v>1916</v>
      </c>
      <c r="AZ19" s="37">
        <v>1916</v>
      </c>
      <c r="BA19" s="76">
        <v>1889</v>
      </c>
      <c r="BB19" s="76">
        <v>1865</v>
      </c>
      <c r="BC19" s="76">
        <v>1843</v>
      </c>
      <c r="BD19" s="70">
        <v>1818</v>
      </c>
      <c r="BE19" s="37">
        <v>1818</v>
      </c>
    </row>
    <row r="20" spans="1:57">
      <c r="A20" s="71" t="s">
        <v>7</v>
      </c>
      <c r="B20" s="24"/>
      <c r="C20" s="72"/>
      <c r="D20" s="72">
        <f>D19/C19-1</f>
        <v>-1.1477230655312809E-2</v>
      </c>
      <c r="E20" s="72">
        <f>E19/D19-1</f>
        <v>-1.3483146067415741E-2</v>
      </c>
      <c r="F20" s="72">
        <f>F19/E19-1</f>
        <v>-1.1389521640091105E-2</v>
      </c>
      <c r="G20" s="24"/>
      <c r="H20" s="72">
        <f>H19/F19-1</f>
        <v>-1.2672811059907807E-2</v>
      </c>
      <c r="I20" s="72">
        <f>I19/H19-1</f>
        <v>-1.2057565149747207E-2</v>
      </c>
      <c r="J20" s="72">
        <f>J19/I19-1</f>
        <v>-1.0629921259842523E-2</v>
      </c>
      <c r="K20" s="72">
        <f>K19/J19-1</f>
        <v>-1.1937922801432577E-2</v>
      </c>
      <c r="L20" s="27"/>
      <c r="M20" s="72">
        <f>M19/K19-1</f>
        <v>-1.1679420056383449E-2</v>
      </c>
      <c r="N20" s="72">
        <f>N19/M19-1</f>
        <v>-1.3039934800325947E-2</v>
      </c>
      <c r="O20" s="72">
        <f>O19/N19-1</f>
        <v>-1.1560693641618491E-2</v>
      </c>
      <c r="P20" s="72">
        <f>P19/O19-1</f>
        <v>-1.1695906432748537E-2</v>
      </c>
      <c r="Q20" s="27"/>
      <c r="R20" s="72">
        <v>-3.3812341504648735E-3</v>
      </c>
      <c r="S20" s="72">
        <v>-8.4817642069545673E-4</v>
      </c>
      <c r="T20" s="72">
        <v>2.9711375212224667E-3</v>
      </c>
      <c r="U20" s="72">
        <v>1.6927634363097521E-3</v>
      </c>
      <c r="V20" s="27"/>
      <c r="W20" s="72">
        <v>4.2247570764675224E-4</v>
      </c>
      <c r="X20" s="72">
        <v>-1.3935810810810856E-2</v>
      </c>
      <c r="Y20" s="72">
        <v>-1.5417558886509641E-2</v>
      </c>
      <c r="Z20" s="72">
        <v>-1.3484123531970371E-2</v>
      </c>
      <c r="AA20" s="27"/>
      <c r="AB20" s="72">
        <v>-1.1463844797178102E-2</v>
      </c>
      <c r="AC20" s="72">
        <v>-8.0285459411240101E-3</v>
      </c>
      <c r="AD20" s="72">
        <v>-4.4964028776983689E-4</v>
      </c>
      <c r="AE20" s="72">
        <v>-3.1488978857400207E-3</v>
      </c>
      <c r="AF20" s="27"/>
      <c r="AG20" s="72">
        <v>-9.0252707581228719E-4</v>
      </c>
      <c r="AH20" s="72">
        <v>-4.0650406504064707E-3</v>
      </c>
      <c r="AI20" s="72">
        <v>0</v>
      </c>
      <c r="AJ20" s="72">
        <v>0</v>
      </c>
      <c r="AK20" s="27"/>
      <c r="AL20" s="72">
        <v>-3.6281179138321962E-2</v>
      </c>
      <c r="AM20" s="72">
        <v>-3.7647058823528923E-3</v>
      </c>
      <c r="AN20" s="72">
        <v>-6.6131317902692333E-3</v>
      </c>
      <c r="AO20" s="72">
        <v>-7.6081787922016586E-3</v>
      </c>
      <c r="AP20" s="27"/>
      <c r="AQ20" s="72">
        <v>-9.1039770004791576E-3</v>
      </c>
      <c r="AR20" s="72">
        <v>-8.704061895551285E-3</v>
      </c>
      <c r="AS20" s="72">
        <v>-9.2682926829268375E-3</v>
      </c>
      <c r="AT20" s="72">
        <v>-1.0339734121122546E-2</v>
      </c>
      <c r="AU20" s="27"/>
      <c r="AV20" s="72">
        <v>-1.1940298507462699E-2</v>
      </c>
      <c r="AW20" s="72">
        <v>-1.2588116817724093E-2</v>
      </c>
      <c r="AX20" s="72">
        <v>-9.6889342172361559E-3</v>
      </c>
      <c r="AY20" s="72">
        <v>-1.3388259526261548E-2</v>
      </c>
      <c r="AZ20" s="27"/>
      <c r="BA20" s="72">
        <v>-1.4091858037578286E-2</v>
      </c>
      <c r="BB20" s="72">
        <v>-1.2705134992059275E-2</v>
      </c>
      <c r="BC20" s="72">
        <v>-1.1796246648793529E-2</v>
      </c>
      <c r="BD20" s="72">
        <v>-1.3564839934888773E-2</v>
      </c>
      <c r="BE20" s="27"/>
    </row>
    <row r="21" spans="1:57">
      <c r="A21" s="71" t="s">
        <v>8</v>
      </c>
      <c r="B21" s="24"/>
      <c r="C21" s="73"/>
      <c r="D21" s="73"/>
      <c r="E21" s="73"/>
      <c r="F21" s="73"/>
      <c r="G21" s="24">
        <f t="shared" ref="G21:O21" si="4">G19/B19-1</f>
        <v>-5.2746453255729353E-2</v>
      </c>
      <c r="H21" s="73">
        <f t="shared" si="4"/>
        <v>-4.8130322102924894E-2</v>
      </c>
      <c r="I21" s="73">
        <f t="shared" si="4"/>
        <v>-4.8689138576779034E-2</v>
      </c>
      <c r="J21" s="73">
        <f t="shared" si="4"/>
        <v>-4.5937737281700808E-2</v>
      </c>
      <c r="K21" s="72">
        <f t="shared" si="4"/>
        <v>-4.64669738863287E-2</v>
      </c>
      <c r="L21" s="24">
        <f t="shared" si="4"/>
        <v>-4.64669738863287E-2</v>
      </c>
      <c r="M21" s="73">
        <f t="shared" si="4"/>
        <v>-4.5507584597432871E-2</v>
      </c>
      <c r="N21" s="73">
        <f t="shared" si="4"/>
        <v>-4.6456692913385833E-2</v>
      </c>
      <c r="O21" s="73">
        <f t="shared" si="4"/>
        <v>-4.7353760445682402E-2</v>
      </c>
      <c r="P21" s="72">
        <f t="shared" ref="P21" si="5">P19/K19-1</f>
        <v>-4.7120418848167533E-2</v>
      </c>
      <c r="Q21" s="24">
        <v>-4.7120418848167533E-2</v>
      </c>
      <c r="R21" s="73">
        <v>0.15</v>
      </c>
      <c r="S21" s="73">
        <v>-2.725020644095788E-2</v>
      </c>
      <c r="T21" s="73">
        <v>-1.294903926482871E-2</v>
      </c>
      <c r="U21" s="72">
        <v>4.226542688081647E-4</v>
      </c>
      <c r="V21" s="24">
        <v>4.226542688081647E-4</v>
      </c>
      <c r="W21" s="73">
        <v>4.2408821034776167E-3</v>
      </c>
      <c r="X21" s="73">
        <v>-8.9134125636671779E-3</v>
      </c>
      <c r="Y21" s="73">
        <v>-2.7084214980956367E-2</v>
      </c>
      <c r="Z21" s="72">
        <v>-4.1825095057034245E-2</v>
      </c>
      <c r="AA21" s="24">
        <v>-4.1825095057034245E-2</v>
      </c>
      <c r="AB21" s="73">
        <v>-5.3209459459459429E-2</v>
      </c>
      <c r="AC21" s="73">
        <v>-4.7537473233404737E-2</v>
      </c>
      <c r="AD21" s="73">
        <v>-3.3057851239669422E-2</v>
      </c>
      <c r="AE21" s="72">
        <v>-2.2927689594356315E-2</v>
      </c>
      <c r="AF21" s="24">
        <v>-2.2927689594356315E-2</v>
      </c>
      <c r="AG21" s="73">
        <v>-1.2488849241748423E-2</v>
      </c>
      <c r="AH21" s="73">
        <v>-8.5431654676259017E-3</v>
      </c>
      <c r="AI21" s="73">
        <v>-8.0971659919027994E-3</v>
      </c>
      <c r="AJ21" s="72">
        <v>-4.9638989169674685E-3</v>
      </c>
      <c r="AK21" s="24">
        <v>-4.9638989169674685E-3</v>
      </c>
      <c r="AL21" s="73">
        <v>-4.0198735320686518E-2</v>
      </c>
      <c r="AM21" s="73">
        <v>-3.990929705215418E-2</v>
      </c>
      <c r="AN21" s="73">
        <v>-4.6258503401360507E-2</v>
      </c>
      <c r="AO21" s="72">
        <v>-5.3514739229024944E-2</v>
      </c>
      <c r="AP21" s="24">
        <v>-5.3514739229024944E-2</v>
      </c>
      <c r="AQ21" s="73">
        <v>-2.6823529411764691E-2</v>
      </c>
      <c r="AR21" s="73">
        <v>-3.1648559282002831E-2</v>
      </c>
      <c r="AS21" s="73">
        <v>-3.4236804564907297E-2</v>
      </c>
      <c r="AT21" s="72">
        <v>-3.6895064686152335E-2</v>
      </c>
      <c r="AU21" s="24">
        <v>-3.6895064686152335E-2</v>
      </c>
      <c r="AV21" s="73">
        <v>-3.9651837524178002E-2</v>
      </c>
      <c r="AW21" s="73">
        <v>-4.3414634146341502E-2</v>
      </c>
      <c r="AX21" s="73">
        <v>-4.3820777941900535E-2</v>
      </c>
      <c r="AY21" s="72">
        <v>-4.676616915422882E-2</v>
      </c>
      <c r="AZ21" s="24">
        <v>-4.676616915422882E-2</v>
      </c>
      <c r="BA21" s="73">
        <v>-4.8841893252769331E-2</v>
      </c>
      <c r="BB21" s="73">
        <v>-4.8954614992350876E-2</v>
      </c>
      <c r="BC21" s="73">
        <v>-5.09783728115345E-2</v>
      </c>
      <c r="BD21" s="72">
        <v>-5.1148225469728636E-2</v>
      </c>
      <c r="BE21" s="24">
        <v>-5.1148225469728636E-2</v>
      </c>
    </row>
    <row r="22" spans="1:57">
      <c r="A22" s="71" t="s">
        <v>213</v>
      </c>
      <c r="B22" s="24"/>
      <c r="C22" s="73"/>
      <c r="D22" s="73"/>
      <c r="E22" s="73"/>
      <c r="F22" s="73"/>
      <c r="G22" s="200">
        <f>G19-B19</f>
        <v>-145</v>
      </c>
      <c r="H22" s="73"/>
      <c r="I22" s="73"/>
      <c r="J22" s="73"/>
      <c r="K22" s="72"/>
      <c r="L22" s="200">
        <f>L19-G19</f>
        <v>-121</v>
      </c>
      <c r="M22" s="73"/>
      <c r="N22" s="73"/>
      <c r="O22" s="73"/>
      <c r="P22" s="72"/>
      <c r="Q22" s="200">
        <v>-117</v>
      </c>
      <c r="R22" s="73"/>
      <c r="S22" s="73"/>
      <c r="T22" s="73"/>
      <c r="U22" s="72"/>
      <c r="V22" s="200">
        <v>1</v>
      </c>
      <c r="W22" s="73"/>
      <c r="X22" s="73"/>
      <c r="Y22" s="73"/>
      <c r="Z22" s="72"/>
      <c r="AA22" s="200">
        <v>-99</v>
      </c>
      <c r="AB22" s="73"/>
      <c r="AC22" s="73"/>
      <c r="AD22" s="73"/>
      <c r="AE22" s="72"/>
      <c r="AF22" s="200">
        <v>-52</v>
      </c>
      <c r="AG22" s="73"/>
      <c r="AH22" s="73"/>
      <c r="AI22" s="73"/>
      <c r="AJ22" s="72"/>
      <c r="AK22" s="200">
        <v>-11</v>
      </c>
      <c r="AL22" s="197"/>
      <c r="AM22" s="197">
        <v>-8</v>
      </c>
      <c r="AN22" s="197">
        <v>-14</v>
      </c>
      <c r="AO22" s="197">
        <v>-16</v>
      </c>
      <c r="AP22" s="200">
        <v>-118</v>
      </c>
      <c r="AQ22" s="199">
        <v>-19</v>
      </c>
      <c r="AR22" s="199">
        <v>-18</v>
      </c>
      <c r="AS22" s="199">
        <v>-19</v>
      </c>
      <c r="AT22" s="199">
        <v>-21</v>
      </c>
      <c r="AU22" s="200">
        <v>-77</v>
      </c>
      <c r="AV22" s="199">
        <v>-24</v>
      </c>
      <c r="AW22" s="199">
        <v>-25</v>
      </c>
      <c r="AX22" s="199">
        <v>-19</v>
      </c>
      <c r="AY22" s="199">
        <v>-26</v>
      </c>
      <c r="AZ22" s="200">
        <v>-94</v>
      </c>
      <c r="BA22" s="199">
        <v>-27</v>
      </c>
      <c r="BB22" s="199">
        <v>-24</v>
      </c>
      <c r="BC22" s="199">
        <v>-22</v>
      </c>
      <c r="BD22" s="199">
        <v>-25</v>
      </c>
      <c r="BE22" s="200">
        <v>-98</v>
      </c>
    </row>
    <row r="23" spans="1:57">
      <c r="A23" s="71"/>
      <c r="B23" s="24"/>
      <c r="C23" s="73"/>
      <c r="D23" s="73"/>
      <c r="E23" s="73"/>
      <c r="F23" s="73"/>
      <c r="G23" s="24"/>
      <c r="H23" s="73"/>
      <c r="I23" s="73"/>
      <c r="J23" s="73"/>
      <c r="K23" s="72"/>
      <c r="L23" s="24"/>
      <c r="M23" s="73"/>
      <c r="N23" s="73"/>
      <c r="O23" s="73"/>
      <c r="P23" s="72"/>
      <c r="Q23" s="24"/>
      <c r="R23" s="73"/>
      <c r="S23" s="73"/>
      <c r="T23" s="73"/>
      <c r="U23" s="72"/>
      <c r="V23" s="24"/>
      <c r="W23" s="73"/>
      <c r="X23" s="73"/>
      <c r="Y23" s="73"/>
      <c r="Z23" s="72"/>
      <c r="AA23" s="24"/>
      <c r="AB23" s="73"/>
      <c r="AC23" s="73"/>
      <c r="AD23" s="73"/>
      <c r="AE23" s="72"/>
      <c r="AF23" s="24"/>
      <c r="AG23" s="73"/>
      <c r="AH23" s="73"/>
      <c r="AI23" s="73"/>
      <c r="AJ23" s="72"/>
      <c r="AK23" s="24"/>
      <c r="AL23" s="73"/>
      <c r="AM23" s="73"/>
      <c r="AN23" s="73"/>
      <c r="AO23" s="72"/>
      <c r="AP23" s="24"/>
      <c r="AQ23" s="73"/>
      <c r="AR23" s="73"/>
      <c r="AS23" s="73"/>
      <c r="AT23" s="72"/>
      <c r="AU23" s="24"/>
      <c r="AV23" s="73"/>
      <c r="AW23" s="73"/>
      <c r="AX23" s="73"/>
      <c r="AY23" s="72"/>
      <c r="AZ23" s="24"/>
      <c r="BA23" s="73"/>
      <c r="BB23" s="73"/>
      <c r="BC23" s="73"/>
      <c r="BD23" s="72"/>
      <c r="BE23" s="24"/>
    </row>
    <row r="24" spans="1:57">
      <c r="A24" s="194" t="s">
        <v>212</v>
      </c>
      <c r="B24" s="102" t="s">
        <v>52</v>
      </c>
      <c r="C24" s="76">
        <v>114</v>
      </c>
      <c r="D24" s="76">
        <v>109</v>
      </c>
      <c r="E24" s="76">
        <v>113</v>
      </c>
      <c r="F24" s="76">
        <v>109</v>
      </c>
      <c r="G24" s="63">
        <v>111</v>
      </c>
      <c r="H24" s="76">
        <v>108</v>
      </c>
      <c r="I24" s="76">
        <v>108</v>
      </c>
      <c r="J24" s="76">
        <v>111</v>
      </c>
      <c r="K24" s="70">
        <v>110</v>
      </c>
      <c r="L24" s="28">
        <v>109</v>
      </c>
      <c r="M24" s="76">
        <v>106</v>
      </c>
      <c r="N24" s="76">
        <v>109</v>
      </c>
      <c r="O24" s="76">
        <v>109</v>
      </c>
      <c r="P24" s="70">
        <v>111</v>
      </c>
      <c r="Q24" s="28">
        <v>109</v>
      </c>
      <c r="R24" s="76">
        <v>87</v>
      </c>
      <c r="S24" s="76">
        <v>86</v>
      </c>
      <c r="T24" s="76">
        <v>87</v>
      </c>
      <c r="U24" s="70">
        <v>78</v>
      </c>
      <c r="V24" s="28">
        <v>85</v>
      </c>
      <c r="W24" s="76">
        <v>83</v>
      </c>
      <c r="X24" s="76">
        <v>81</v>
      </c>
      <c r="Y24" s="76">
        <v>80</v>
      </c>
      <c r="Z24" s="70">
        <v>78</v>
      </c>
      <c r="AA24" s="28">
        <v>81</v>
      </c>
      <c r="AB24" s="76">
        <v>75</v>
      </c>
      <c r="AC24" s="76">
        <v>75</v>
      </c>
      <c r="AD24" s="76">
        <v>73</v>
      </c>
      <c r="AE24" s="70">
        <v>70</v>
      </c>
      <c r="AF24" s="28">
        <v>74</v>
      </c>
      <c r="AG24" s="76">
        <v>64</v>
      </c>
      <c r="AH24" s="76">
        <v>63</v>
      </c>
      <c r="AI24" s="76">
        <v>63</v>
      </c>
      <c r="AJ24" s="70">
        <v>62</v>
      </c>
      <c r="AK24" s="28">
        <v>63</v>
      </c>
      <c r="AL24" s="76">
        <v>60</v>
      </c>
      <c r="AM24" s="76">
        <v>59</v>
      </c>
      <c r="AN24" s="76">
        <v>59</v>
      </c>
      <c r="AO24" s="70">
        <v>59</v>
      </c>
      <c r="AP24" s="28">
        <v>59</v>
      </c>
      <c r="AQ24" s="76">
        <v>58</v>
      </c>
      <c r="AR24" s="76">
        <v>57</v>
      </c>
      <c r="AS24" s="76">
        <v>57</v>
      </c>
      <c r="AT24" s="70">
        <v>55</v>
      </c>
      <c r="AU24" s="28">
        <v>57</v>
      </c>
      <c r="AV24" s="76">
        <v>56</v>
      </c>
      <c r="AW24" s="76">
        <v>54</v>
      </c>
      <c r="AX24" s="76">
        <v>54</v>
      </c>
      <c r="AY24" s="70">
        <v>53</v>
      </c>
      <c r="AZ24" s="28">
        <v>54</v>
      </c>
      <c r="BA24" s="76">
        <v>53</v>
      </c>
      <c r="BB24" s="76">
        <v>52</v>
      </c>
      <c r="BC24" s="76">
        <v>51</v>
      </c>
      <c r="BD24" s="70">
        <v>51</v>
      </c>
      <c r="BE24" s="28">
        <v>52</v>
      </c>
    </row>
    <row r="25" spans="1:57">
      <c r="A25" s="71" t="s">
        <v>7</v>
      </c>
      <c r="B25" s="24"/>
      <c r="C25" s="72"/>
      <c r="D25" s="72">
        <f>D24/C24-1</f>
        <v>-4.3859649122807043E-2</v>
      </c>
      <c r="E25" s="72">
        <f>E24/D24-1</f>
        <v>3.669724770642202E-2</v>
      </c>
      <c r="F25" s="72">
        <f>F24/E24-1</f>
        <v>-3.539823008849563E-2</v>
      </c>
      <c r="G25" s="24"/>
      <c r="H25" s="72">
        <f>H24/F24-1</f>
        <v>-9.1743119266054496E-3</v>
      </c>
      <c r="I25" s="72">
        <f>I24/H24-1</f>
        <v>0</v>
      </c>
      <c r="J25" s="72">
        <f>J24/I24-1</f>
        <v>2.7777777777777679E-2</v>
      </c>
      <c r="K25" s="72">
        <f>K24/J24-1</f>
        <v>-9.009009009009028E-3</v>
      </c>
      <c r="L25" s="27"/>
      <c r="M25" s="72">
        <f>M24/K24-1</f>
        <v>-3.6363636363636376E-2</v>
      </c>
      <c r="N25" s="72">
        <f>N24/M24-1</f>
        <v>2.8301886792452935E-2</v>
      </c>
      <c r="O25" s="72">
        <f>O24/N24-1</f>
        <v>0</v>
      </c>
      <c r="P25" s="72">
        <f>P24/O24-1</f>
        <v>1.8348623853210899E-2</v>
      </c>
      <c r="Q25" s="27"/>
      <c r="R25" s="72">
        <v>-0.21621621621621623</v>
      </c>
      <c r="S25" s="72">
        <v>-1.1494252873563204E-2</v>
      </c>
      <c r="T25" s="72">
        <v>1.1627906976744207E-2</v>
      </c>
      <c r="U25" s="72">
        <v>-0.10344827586206895</v>
      </c>
      <c r="V25" s="27"/>
      <c r="W25" s="72">
        <v>6.4102564102564097E-2</v>
      </c>
      <c r="X25" s="72">
        <v>-2.4096385542168641E-2</v>
      </c>
      <c r="Y25" s="72">
        <v>-1.2345679012345734E-2</v>
      </c>
      <c r="Z25" s="72">
        <v>-2.5000000000000022E-2</v>
      </c>
      <c r="AA25" s="27"/>
      <c r="AB25" s="72">
        <v>-3.8461538461538436E-2</v>
      </c>
      <c r="AC25" s="72">
        <v>0</v>
      </c>
      <c r="AD25" s="72">
        <v>-2.6666666666666616E-2</v>
      </c>
      <c r="AE25" s="72">
        <v>-4.1095890410958957E-2</v>
      </c>
      <c r="AF25" s="27"/>
      <c r="AG25" s="72">
        <v>-8.5714285714285743E-2</v>
      </c>
      <c r="AH25" s="72">
        <v>-1.5625E-2</v>
      </c>
      <c r="AI25" s="72">
        <v>0</v>
      </c>
      <c r="AJ25" s="72">
        <v>-1.5873015873015928E-2</v>
      </c>
      <c r="AK25" s="27"/>
      <c r="AL25" s="72">
        <v>-3.2258064516129004E-2</v>
      </c>
      <c r="AM25" s="72">
        <v>-1.6666666666666718E-2</v>
      </c>
      <c r="AN25" s="72">
        <v>0</v>
      </c>
      <c r="AO25" s="72">
        <v>0</v>
      </c>
      <c r="AP25" s="27"/>
      <c r="AQ25" s="72">
        <v>-1.6949152542372836E-2</v>
      </c>
      <c r="AR25" s="72">
        <v>-1.7241379310344862E-2</v>
      </c>
      <c r="AS25" s="72">
        <v>0</v>
      </c>
      <c r="AT25" s="72">
        <v>-3.5087719298245612E-2</v>
      </c>
      <c r="AU25" s="27"/>
      <c r="AV25" s="72">
        <v>1.8181818181818077E-2</v>
      </c>
      <c r="AW25" s="72">
        <v>-3.5714285714285698E-2</v>
      </c>
      <c r="AX25" s="72">
        <v>0</v>
      </c>
      <c r="AY25" s="72">
        <v>-1.851851851851849E-2</v>
      </c>
      <c r="AZ25" s="27"/>
      <c r="BA25" s="72">
        <v>0</v>
      </c>
      <c r="BB25" s="72">
        <v>-1.8867924528301883E-2</v>
      </c>
      <c r="BC25" s="72">
        <v>-1.9230769230769273E-2</v>
      </c>
      <c r="BD25" s="72">
        <v>0</v>
      </c>
      <c r="BE25" s="27"/>
    </row>
    <row r="26" spans="1:57">
      <c r="A26" s="71" t="s">
        <v>8</v>
      </c>
      <c r="B26" s="24"/>
      <c r="C26" s="73"/>
      <c r="D26" s="73"/>
      <c r="E26" s="73"/>
      <c r="F26" s="73"/>
      <c r="G26" s="24"/>
      <c r="H26" s="73">
        <f t="shared" ref="H26:P26" si="6">H24/C24-1</f>
        <v>-5.2631578947368474E-2</v>
      </c>
      <c r="I26" s="73">
        <f t="shared" si="6"/>
        <v>-9.1743119266054496E-3</v>
      </c>
      <c r="J26" s="73">
        <f t="shared" si="6"/>
        <v>-1.7699115044247815E-2</v>
      </c>
      <c r="K26" s="72">
        <f t="shared" si="6"/>
        <v>9.1743119266054496E-3</v>
      </c>
      <c r="L26" s="24">
        <f t="shared" si="6"/>
        <v>-1.8018018018018056E-2</v>
      </c>
      <c r="M26" s="73">
        <f t="shared" si="6"/>
        <v>-1.851851851851849E-2</v>
      </c>
      <c r="N26" s="73">
        <f t="shared" si="6"/>
        <v>9.2592592592593004E-3</v>
      </c>
      <c r="O26" s="73">
        <f t="shared" si="6"/>
        <v>-1.8018018018018056E-2</v>
      </c>
      <c r="P26" s="72">
        <f t="shared" si="6"/>
        <v>9.0909090909090384E-3</v>
      </c>
      <c r="Q26" s="24">
        <v>0</v>
      </c>
      <c r="R26" s="73">
        <v>-0.17924528301886788</v>
      </c>
      <c r="S26" s="73">
        <v>-0.21100917431192656</v>
      </c>
      <c r="T26" s="73">
        <v>-0.20183486238532111</v>
      </c>
      <c r="U26" s="72">
        <v>-0.29729729729729726</v>
      </c>
      <c r="V26" s="24">
        <v>-0.22018348623853212</v>
      </c>
      <c r="W26" s="73">
        <v>-4.5977011494252928E-2</v>
      </c>
      <c r="X26" s="73">
        <v>-5.8139534883720922E-2</v>
      </c>
      <c r="Y26" s="73">
        <v>-8.0459770114942541E-2</v>
      </c>
      <c r="Z26" s="72">
        <v>0</v>
      </c>
      <c r="AA26" s="24">
        <v>-4.705882352941182E-2</v>
      </c>
      <c r="AB26" s="73">
        <v>-9.6385542168674676E-2</v>
      </c>
      <c r="AC26" s="73">
        <v>-7.407407407407407E-2</v>
      </c>
      <c r="AD26" s="73">
        <v>-8.7500000000000022E-2</v>
      </c>
      <c r="AE26" s="72">
        <v>-0.10256410256410253</v>
      </c>
      <c r="AF26" s="24">
        <v>-8.6419753086419804E-2</v>
      </c>
      <c r="AG26" s="73">
        <v>-0.14666666666666661</v>
      </c>
      <c r="AH26" s="73">
        <v>-0.16000000000000003</v>
      </c>
      <c r="AI26" s="73">
        <v>-0.13698630136986301</v>
      </c>
      <c r="AJ26" s="72">
        <v>-0.11428571428571432</v>
      </c>
      <c r="AK26" s="24">
        <v>-0.14864864864864868</v>
      </c>
      <c r="AL26" s="73">
        <v>-6.25E-2</v>
      </c>
      <c r="AM26" s="73">
        <v>-6.3492063492063489E-2</v>
      </c>
      <c r="AN26" s="73">
        <v>-6.3492063492063489E-2</v>
      </c>
      <c r="AO26" s="72">
        <v>-4.8387096774193505E-2</v>
      </c>
      <c r="AP26" s="24">
        <v>-6.3492063492063489E-2</v>
      </c>
      <c r="AQ26" s="73">
        <v>-3.3333333333333326E-2</v>
      </c>
      <c r="AR26" s="73">
        <v>-3.3898305084745783E-2</v>
      </c>
      <c r="AS26" s="73">
        <v>-3.3898305084745783E-2</v>
      </c>
      <c r="AT26" s="72">
        <v>-6.7796610169491567E-2</v>
      </c>
      <c r="AU26" s="24">
        <v>-3.3898305084745783E-2</v>
      </c>
      <c r="AV26" s="73">
        <v>-3.4482758620689613E-2</v>
      </c>
      <c r="AW26" s="73">
        <v>-5.2631578947368474E-2</v>
      </c>
      <c r="AX26" s="73">
        <v>-5.2631578947368474E-2</v>
      </c>
      <c r="AY26" s="72">
        <v>-3.6363636363636376E-2</v>
      </c>
      <c r="AZ26" s="24">
        <v>-5.2631578947368474E-2</v>
      </c>
      <c r="BA26" s="73">
        <v>-5.3571428571428603E-2</v>
      </c>
      <c r="BB26" s="73">
        <v>-3.703703703703709E-2</v>
      </c>
      <c r="BC26" s="73">
        <v>-5.555555555555558E-2</v>
      </c>
      <c r="BD26" s="72">
        <v>-3.7735849056603765E-2</v>
      </c>
      <c r="BE26" s="24">
        <v>-3.703703703703709E-2</v>
      </c>
    </row>
    <row r="27" spans="1:57">
      <c r="A27" s="71"/>
      <c r="B27" s="24"/>
      <c r="C27" s="73"/>
      <c r="D27" s="73"/>
      <c r="E27" s="73"/>
      <c r="F27" s="73"/>
      <c r="G27" s="24"/>
      <c r="H27" s="73"/>
      <c r="I27" s="73"/>
      <c r="J27" s="73"/>
      <c r="K27" s="72"/>
      <c r="L27" s="24"/>
      <c r="M27" s="73"/>
      <c r="N27" s="73"/>
      <c r="O27" s="73"/>
      <c r="P27" s="72"/>
      <c r="Q27" s="24"/>
      <c r="R27" s="73"/>
      <c r="S27" s="73"/>
      <c r="T27" s="73"/>
      <c r="U27" s="72"/>
      <c r="V27" s="24"/>
      <c r="W27" s="73"/>
      <c r="X27" s="73"/>
      <c r="Y27" s="73"/>
      <c r="Z27" s="72"/>
      <c r="AA27" s="24"/>
      <c r="AB27" s="73"/>
      <c r="AC27" s="73"/>
      <c r="AD27" s="73"/>
      <c r="AE27" s="72"/>
      <c r="AF27" s="24"/>
      <c r="AG27" s="73"/>
      <c r="AH27" s="73"/>
      <c r="AI27" s="73"/>
      <c r="AJ27" s="72"/>
      <c r="AK27" s="24"/>
      <c r="AL27" s="73"/>
      <c r="AM27" s="73"/>
      <c r="AN27" s="73"/>
      <c r="AO27" s="72"/>
      <c r="AP27" s="24"/>
      <c r="AQ27" s="73"/>
      <c r="AR27" s="73"/>
      <c r="AS27" s="73"/>
      <c r="AT27" s="72"/>
      <c r="AU27" s="24"/>
      <c r="AV27" s="73"/>
      <c r="AW27" s="73"/>
      <c r="AX27" s="73"/>
      <c r="AY27" s="72"/>
      <c r="AZ27" s="24"/>
      <c r="BA27" s="73"/>
      <c r="BB27" s="73"/>
      <c r="BC27" s="73"/>
      <c r="BD27" s="72"/>
      <c r="BE27" s="24"/>
    </row>
    <row r="28" spans="1:57" hidden="1">
      <c r="A28" s="69" t="s">
        <v>80</v>
      </c>
      <c r="B28" s="38">
        <v>87</v>
      </c>
      <c r="C28" s="76">
        <v>85</v>
      </c>
      <c r="D28" s="76">
        <v>82</v>
      </c>
      <c r="E28" s="76">
        <v>85</v>
      </c>
      <c r="F28" s="76">
        <v>82</v>
      </c>
      <c r="G28" s="63">
        <v>83</v>
      </c>
      <c r="H28" s="76">
        <v>82</v>
      </c>
      <c r="I28" s="76">
        <v>81</v>
      </c>
      <c r="J28" s="76">
        <v>83</v>
      </c>
      <c r="K28" s="70">
        <v>83</v>
      </c>
      <c r="L28" s="28">
        <v>82</v>
      </c>
      <c r="M28" s="76">
        <v>80</v>
      </c>
      <c r="N28" s="76">
        <v>81</v>
      </c>
      <c r="O28" s="76">
        <v>82</v>
      </c>
      <c r="P28" s="70">
        <v>83</v>
      </c>
      <c r="Q28" s="28">
        <v>81</v>
      </c>
      <c r="R28" s="76">
        <v>79</v>
      </c>
      <c r="S28" s="76">
        <v>77</v>
      </c>
      <c r="T28" s="76">
        <v>78</v>
      </c>
      <c r="U28" s="70">
        <v>70</v>
      </c>
      <c r="V28" s="28">
        <v>76</v>
      </c>
      <c r="W28" s="76">
        <v>74</v>
      </c>
      <c r="X28" s="76">
        <v>73</v>
      </c>
      <c r="Y28" s="76">
        <v>73</v>
      </c>
      <c r="Z28" s="70">
        <v>71</v>
      </c>
      <c r="AA28" s="28">
        <v>73</v>
      </c>
      <c r="AB28" s="76">
        <v>69</v>
      </c>
      <c r="AC28" s="76">
        <v>68</v>
      </c>
      <c r="AD28" s="76">
        <v>67</v>
      </c>
      <c r="AE28" s="70">
        <v>64</v>
      </c>
      <c r="AF28" s="28">
        <v>67</v>
      </c>
      <c r="AG28" s="76">
        <v>69</v>
      </c>
      <c r="AH28" s="76">
        <v>68</v>
      </c>
      <c r="AI28" s="76">
        <v>68</v>
      </c>
      <c r="AJ28" s="70">
        <v>64</v>
      </c>
      <c r="AK28" s="28">
        <v>-586</v>
      </c>
      <c r="AL28" s="76">
        <v>69</v>
      </c>
      <c r="AM28" s="76">
        <v>68</v>
      </c>
      <c r="AN28" s="76">
        <v>68</v>
      </c>
      <c r="AO28" s="70">
        <v>64</v>
      </c>
      <c r="AP28" s="28">
        <v>-586</v>
      </c>
      <c r="AQ28" s="76">
        <v>69</v>
      </c>
      <c r="AR28" s="76">
        <v>68</v>
      </c>
      <c r="AS28" s="76">
        <v>68</v>
      </c>
      <c r="AT28" s="70">
        <v>64</v>
      </c>
      <c r="AU28" s="28">
        <v>-586</v>
      </c>
      <c r="AV28" s="76">
        <v>69</v>
      </c>
      <c r="AW28" s="76">
        <v>69</v>
      </c>
      <c r="AX28" s="76">
        <v>69</v>
      </c>
      <c r="AY28" s="70">
        <v>64</v>
      </c>
      <c r="AZ28" s="28">
        <v>-586</v>
      </c>
      <c r="BA28" s="76">
        <v>69</v>
      </c>
      <c r="BB28" s="76">
        <v>69</v>
      </c>
      <c r="BC28" s="76">
        <v>69</v>
      </c>
      <c r="BD28" s="70">
        <v>64</v>
      </c>
      <c r="BE28" s="28">
        <v>-586</v>
      </c>
    </row>
    <row r="29" spans="1:57" hidden="1">
      <c r="A29" s="71" t="s">
        <v>7</v>
      </c>
      <c r="B29" s="24"/>
      <c r="C29" s="72"/>
      <c r="D29" s="72">
        <f>D28/C28-1</f>
        <v>-3.5294117647058809E-2</v>
      </c>
      <c r="E29" s="72">
        <f>E28/D28-1</f>
        <v>3.6585365853658569E-2</v>
      </c>
      <c r="F29" s="72">
        <f>F28/E28-1</f>
        <v>-3.5294117647058809E-2</v>
      </c>
      <c r="G29" s="24"/>
      <c r="H29" s="72">
        <f>H28/F28-1</f>
        <v>0</v>
      </c>
      <c r="I29" s="72">
        <f>I28/H28-1</f>
        <v>-1.2195121951219523E-2</v>
      </c>
      <c r="J29" s="72">
        <f>J28/I28-1</f>
        <v>2.4691358024691468E-2</v>
      </c>
      <c r="K29" s="72">
        <f>K28/J28-1</f>
        <v>0</v>
      </c>
      <c r="L29" s="27"/>
      <c r="M29" s="72">
        <f>M28/K28-1</f>
        <v>-3.6144578313253017E-2</v>
      </c>
      <c r="N29" s="72">
        <f>N28/M28-1</f>
        <v>1.2499999999999956E-2</v>
      </c>
      <c r="O29" s="72">
        <f>O28/N28-1</f>
        <v>1.2345679012345734E-2</v>
      </c>
      <c r="P29" s="72">
        <f>P28/O28-1</f>
        <v>1.2195121951219523E-2</v>
      </c>
      <c r="Q29" s="27"/>
      <c r="R29" s="72">
        <v>-4.8192771084337394E-2</v>
      </c>
      <c r="S29" s="72">
        <v>-2.5316455696202556E-2</v>
      </c>
      <c r="T29" s="72">
        <v>1.298701298701288E-2</v>
      </c>
      <c r="U29" s="72">
        <v>-0.10256410256410253</v>
      </c>
      <c r="V29" s="27"/>
      <c r="W29" s="72">
        <v>5.7142857142857162E-2</v>
      </c>
      <c r="X29" s="72">
        <v>-1.3513513513513487E-2</v>
      </c>
      <c r="Y29" s="72">
        <v>0</v>
      </c>
      <c r="Z29" s="72">
        <v>-2.7397260273972601E-2</v>
      </c>
      <c r="AA29" s="27"/>
      <c r="AB29" s="72">
        <v>-2.8169014084507005E-2</v>
      </c>
      <c r="AC29" s="72">
        <v>-1.4492753623188359E-2</v>
      </c>
      <c r="AD29" s="72">
        <v>-1.4705882352941124E-2</v>
      </c>
      <c r="AE29" s="72">
        <v>-4.4776119402985093E-2</v>
      </c>
      <c r="AF29" s="27"/>
      <c r="AG29" s="72">
        <v>7.8125E-2</v>
      </c>
      <c r="AH29" s="72">
        <v>-1.4492753623188359E-2</v>
      </c>
      <c r="AI29" s="72">
        <v>0</v>
      </c>
      <c r="AJ29" s="72">
        <v>-5.8823529411764719E-2</v>
      </c>
      <c r="AK29" s="27"/>
      <c r="AL29" s="72">
        <v>7.8125E-2</v>
      </c>
      <c r="AM29" s="72">
        <v>-1.4492753623188359E-2</v>
      </c>
      <c r="AN29" s="72">
        <v>0</v>
      </c>
      <c r="AO29" s="72">
        <v>-5.8823529411764719E-2</v>
      </c>
      <c r="AP29" s="27"/>
      <c r="AQ29" s="72">
        <v>7.8125E-2</v>
      </c>
      <c r="AR29" s="72">
        <v>-1.4492753623188359E-2</v>
      </c>
      <c r="AS29" s="72">
        <v>0</v>
      </c>
      <c r="AT29" s="72">
        <v>-5.8823529411764719E-2</v>
      </c>
      <c r="AU29" s="27"/>
      <c r="AV29" s="72">
        <v>7.8125E-2</v>
      </c>
      <c r="AW29" s="72">
        <v>-1.1177474402730376</v>
      </c>
      <c r="AX29" s="72">
        <v>0</v>
      </c>
      <c r="AY29" s="72">
        <v>-7.2463768115942018E-2</v>
      </c>
      <c r="AZ29" s="27"/>
      <c r="BA29" s="72">
        <v>7.8125E-2</v>
      </c>
      <c r="BB29" s="72">
        <v>-1.1177474402730376</v>
      </c>
      <c r="BC29" s="72">
        <v>0</v>
      </c>
      <c r="BD29" s="72">
        <v>-7.2463768115942018E-2</v>
      </c>
      <c r="BE29" s="27"/>
    </row>
    <row r="30" spans="1:57" hidden="1">
      <c r="A30" s="71" t="s">
        <v>8</v>
      </c>
      <c r="B30" s="24"/>
      <c r="C30" s="73"/>
      <c r="D30" s="73"/>
      <c r="E30" s="73"/>
      <c r="F30" s="73"/>
      <c r="G30" s="24">
        <f t="shared" ref="G30:N30" si="7">G28/B28-1</f>
        <v>-4.5977011494252928E-2</v>
      </c>
      <c r="H30" s="73">
        <f t="shared" si="7"/>
        <v>-3.5294117647058809E-2</v>
      </c>
      <c r="I30" s="73">
        <f t="shared" si="7"/>
        <v>-1.2195121951219523E-2</v>
      </c>
      <c r="J30" s="73">
        <f t="shared" si="7"/>
        <v>-2.352941176470591E-2</v>
      </c>
      <c r="K30" s="72">
        <f t="shared" si="7"/>
        <v>1.2195121951219523E-2</v>
      </c>
      <c r="L30" s="24">
        <f t="shared" si="7"/>
        <v>-1.2048192771084376E-2</v>
      </c>
      <c r="M30" s="73">
        <f t="shared" si="7"/>
        <v>-2.4390243902439046E-2</v>
      </c>
      <c r="N30" s="73">
        <f t="shared" si="7"/>
        <v>0</v>
      </c>
      <c r="O30" s="73">
        <f t="shared" ref="O30:P30" si="8">O28/J28-1</f>
        <v>-1.2048192771084376E-2</v>
      </c>
      <c r="P30" s="72">
        <f t="shared" si="8"/>
        <v>0</v>
      </c>
      <c r="Q30" s="24">
        <v>-1.2195121951219523E-2</v>
      </c>
      <c r="R30" s="73">
        <v>-1.2499999999999956E-2</v>
      </c>
      <c r="S30" s="73">
        <v>-4.9382716049382713E-2</v>
      </c>
      <c r="T30" s="73">
        <v>-4.8780487804878092E-2</v>
      </c>
      <c r="U30" s="72">
        <v>-0.15662650602409633</v>
      </c>
      <c r="V30" s="24">
        <v>-6.1728395061728447E-2</v>
      </c>
      <c r="W30" s="73">
        <v>-6.3291139240506333E-2</v>
      </c>
      <c r="X30" s="73">
        <v>-5.1948051948051965E-2</v>
      </c>
      <c r="Y30" s="73">
        <v>-6.4102564102564097E-2</v>
      </c>
      <c r="Z30" s="72">
        <v>1.4285714285714235E-2</v>
      </c>
      <c r="AA30" s="24">
        <v>91</v>
      </c>
      <c r="AB30" s="73">
        <v>-6.7567567567567544E-2</v>
      </c>
      <c r="AC30" s="73">
        <v>-6.8493150684931559E-2</v>
      </c>
      <c r="AD30" s="73">
        <v>-8.2191780821917804E-2</v>
      </c>
      <c r="AE30" s="72">
        <v>-9.8591549295774628E-2</v>
      </c>
      <c r="AF30" s="24">
        <v>-8.2191780821917804E-2</v>
      </c>
      <c r="AG30" s="73">
        <v>0</v>
      </c>
      <c r="AH30" s="73">
        <v>0</v>
      </c>
      <c r="AI30" s="73">
        <v>1.4925373134328401E-2</v>
      </c>
      <c r="AJ30" s="72">
        <v>0</v>
      </c>
      <c r="AK30" s="24">
        <v>-9.7462686567164187</v>
      </c>
      <c r="AL30" s="73">
        <v>0</v>
      </c>
      <c r="AM30" s="73">
        <v>0</v>
      </c>
      <c r="AN30" s="73">
        <v>0</v>
      </c>
      <c r="AO30" s="72">
        <v>0</v>
      </c>
      <c r="AP30" s="24">
        <v>0</v>
      </c>
      <c r="AQ30" s="73">
        <v>0</v>
      </c>
      <c r="AR30" s="73">
        <v>0</v>
      </c>
      <c r="AS30" s="73">
        <v>0</v>
      </c>
      <c r="AT30" s="72">
        <v>0</v>
      </c>
      <c r="AU30" s="24">
        <v>0</v>
      </c>
      <c r="AV30" s="73">
        <v>0</v>
      </c>
      <c r="AW30" s="73">
        <v>1.4705882352941124E-2</v>
      </c>
      <c r="AX30" s="73">
        <v>1.4705882352941124E-2</v>
      </c>
      <c r="AY30" s="72">
        <v>0</v>
      </c>
      <c r="AZ30" s="24">
        <v>0</v>
      </c>
      <c r="BA30" s="73">
        <v>0</v>
      </c>
      <c r="BB30" s="73">
        <v>0</v>
      </c>
      <c r="BC30" s="73">
        <v>0</v>
      </c>
      <c r="BD30" s="72">
        <v>0</v>
      </c>
      <c r="BE30" s="24">
        <v>0</v>
      </c>
    </row>
    <row r="31" spans="1:57" hidden="1">
      <c r="A31" s="71"/>
      <c r="B31" s="24"/>
      <c r="C31" s="73"/>
      <c r="D31" s="73"/>
      <c r="E31" s="73"/>
      <c r="F31" s="73"/>
      <c r="G31" s="24"/>
      <c r="H31" s="73"/>
      <c r="I31" s="73"/>
      <c r="J31" s="73"/>
      <c r="K31" s="72"/>
      <c r="L31" s="24"/>
      <c r="M31" s="73"/>
      <c r="N31" s="73"/>
      <c r="O31" s="73"/>
      <c r="P31" s="72"/>
      <c r="Q31" s="24"/>
      <c r="R31" s="73"/>
      <c r="S31" s="73"/>
      <c r="T31" s="73"/>
      <c r="U31" s="72"/>
      <c r="V31" s="24"/>
      <c r="W31" s="73"/>
      <c r="X31" s="73"/>
      <c r="Y31" s="73"/>
      <c r="Z31" s="72"/>
      <c r="AA31" s="24"/>
      <c r="AB31" s="73"/>
      <c r="AC31" s="73"/>
      <c r="AD31" s="73"/>
      <c r="AE31" s="72"/>
      <c r="AF31" s="24"/>
      <c r="AG31" s="73"/>
      <c r="AH31" s="73"/>
      <c r="AI31" s="73"/>
      <c r="AJ31" s="72"/>
      <c r="AK31" s="24"/>
      <c r="AL31" s="73"/>
      <c r="AM31" s="73"/>
      <c r="AN31" s="73"/>
      <c r="AO31" s="72"/>
      <c r="AP31" s="24"/>
      <c r="AQ31" s="73"/>
      <c r="AR31" s="73"/>
      <c r="AS31" s="73"/>
      <c r="AT31" s="72"/>
      <c r="AU31" s="24"/>
      <c r="AV31" s="73"/>
      <c r="AW31" s="73"/>
      <c r="AX31" s="73"/>
      <c r="AY31" s="72"/>
      <c r="AZ31" s="24"/>
      <c r="BA31" s="73"/>
      <c r="BB31" s="73"/>
      <c r="BC31" s="73"/>
      <c r="BD31" s="72"/>
      <c r="BE31" s="24"/>
    </row>
    <row r="32" spans="1:57">
      <c r="A32" s="69" t="s">
        <v>169</v>
      </c>
      <c r="B32" s="39">
        <v>9.5000000000000001E-2</v>
      </c>
      <c r="C32" s="90">
        <v>3.6999999999999998E-2</v>
      </c>
      <c r="D32" s="90">
        <v>2.8000000000000001E-2</v>
      </c>
      <c r="E32" s="90">
        <v>3.1E-2</v>
      </c>
      <c r="F32" s="90">
        <v>2.9000000000000001E-2</v>
      </c>
      <c r="G32" s="102" t="s">
        <v>52</v>
      </c>
      <c r="H32" s="120" t="s">
        <v>44</v>
      </c>
      <c r="I32" s="120" t="s">
        <v>44</v>
      </c>
      <c r="J32" s="120" t="s">
        <v>44</v>
      </c>
      <c r="K32" s="120" t="s">
        <v>44</v>
      </c>
      <c r="L32" s="102" t="s">
        <v>52</v>
      </c>
      <c r="M32" s="120" t="s">
        <v>44</v>
      </c>
      <c r="N32" s="120" t="s">
        <v>44</v>
      </c>
      <c r="O32" s="120" t="s">
        <v>44</v>
      </c>
      <c r="P32" s="120" t="s">
        <v>44</v>
      </c>
      <c r="Q32" s="102" t="s">
        <v>52</v>
      </c>
      <c r="R32" s="90">
        <v>3.3000000000000002E-2</v>
      </c>
      <c r="S32" s="90">
        <v>2.8000000000000001E-2</v>
      </c>
      <c r="T32" s="90">
        <v>2.8000000000000001E-2</v>
      </c>
      <c r="U32" s="90">
        <v>2.8000000000000001E-2</v>
      </c>
      <c r="V32" s="39">
        <v>0.11600000000000001</v>
      </c>
      <c r="W32" s="90">
        <v>3.2000000000000001E-2</v>
      </c>
      <c r="X32" s="90">
        <v>3.9E-2</v>
      </c>
      <c r="Y32" s="90">
        <v>4.2000000000000003E-2</v>
      </c>
      <c r="Z32" s="90">
        <v>0.04</v>
      </c>
      <c r="AA32" s="39">
        <v>0.153</v>
      </c>
      <c r="AB32" s="90">
        <v>3.6999999999999998E-2</v>
      </c>
      <c r="AC32" s="90">
        <v>3.5000000000000003E-2</v>
      </c>
      <c r="AD32" s="90">
        <v>2.8000000000000001E-2</v>
      </c>
      <c r="AE32" s="90">
        <v>3.1000000000000007E-2</v>
      </c>
      <c r="AF32" s="39">
        <v>0.13100000000000001</v>
      </c>
      <c r="AG32" s="90">
        <v>0.03</v>
      </c>
      <c r="AH32" s="90">
        <v>2.8000000000000001E-2</v>
      </c>
      <c r="AI32" s="90">
        <v>2.8000000000000001E-2</v>
      </c>
      <c r="AJ32" s="90">
        <v>2.5000000000000001E-2</v>
      </c>
      <c r="AK32" s="39">
        <v>0.111</v>
      </c>
      <c r="AL32" s="90">
        <v>2.4E-2</v>
      </c>
      <c r="AM32" s="90">
        <v>2.4E-2</v>
      </c>
      <c r="AN32" s="90">
        <v>2.5999999999999999E-2</v>
      </c>
      <c r="AO32" s="90">
        <v>2.7E-2</v>
      </c>
      <c r="AP32" s="39">
        <v>0.10100000000000001</v>
      </c>
      <c r="AQ32" s="90">
        <v>2.8000000000000001E-2</v>
      </c>
      <c r="AR32" s="90">
        <v>2.4E-2</v>
      </c>
      <c r="AS32" s="90">
        <v>2.5999999999999999E-2</v>
      </c>
      <c r="AT32" s="90">
        <v>2.4E-2</v>
      </c>
      <c r="AU32" s="39">
        <v>0.10199999999999999</v>
      </c>
      <c r="AV32" s="90">
        <v>2.7E-2</v>
      </c>
      <c r="AW32" s="90">
        <v>2.4E-2</v>
      </c>
      <c r="AX32" s="90">
        <v>2.3E-2</v>
      </c>
      <c r="AY32" s="90">
        <v>2.4E-2</v>
      </c>
      <c r="AZ32" s="39">
        <v>9.8000000000000004E-2</v>
      </c>
      <c r="BA32" s="90">
        <v>0.03</v>
      </c>
      <c r="BB32" s="90">
        <v>2.8000000000000001E-2</v>
      </c>
      <c r="BC32" s="90">
        <v>2.7E-2</v>
      </c>
      <c r="BD32" s="90">
        <v>3.1E-2</v>
      </c>
      <c r="BE32" s="39">
        <v>0.11600000000000001</v>
      </c>
    </row>
    <row r="33" spans="1:57">
      <c r="A33" s="71"/>
      <c r="B33" s="24"/>
      <c r="C33" s="73"/>
      <c r="D33" s="73"/>
      <c r="E33" s="73"/>
      <c r="F33" s="73"/>
      <c r="G33" s="24"/>
      <c r="H33" s="73"/>
      <c r="I33" s="73"/>
      <c r="J33" s="73"/>
      <c r="K33" s="72"/>
      <c r="L33" s="24"/>
      <c r="M33" s="73"/>
      <c r="N33" s="73"/>
      <c r="O33" s="73"/>
      <c r="P33" s="72"/>
      <c r="Q33" s="24"/>
      <c r="R33" s="73"/>
      <c r="S33" s="73"/>
      <c r="T33" s="73"/>
      <c r="U33" s="72"/>
      <c r="V33" s="24"/>
      <c r="W33" s="73"/>
      <c r="X33" s="73"/>
      <c r="Y33" s="73"/>
      <c r="Z33" s="72"/>
      <c r="AA33" s="24"/>
      <c r="AB33" s="73"/>
      <c r="AC33" s="73"/>
      <c r="AD33" s="73"/>
      <c r="AE33" s="72"/>
      <c r="AF33" s="24"/>
      <c r="AG33" s="73"/>
      <c r="AH33" s="73"/>
      <c r="AI33" s="73"/>
      <c r="AJ33" s="72"/>
      <c r="AK33" s="24"/>
      <c r="AL33" s="73"/>
      <c r="AM33" s="73"/>
      <c r="AN33" s="73"/>
      <c r="AO33" s="72"/>
      <c r="AP33" s="24"/>
      <c r="AQ33" s="73"/>
      <c r="AR33" s="73"/>
      <c r="AS33" s="73"/>
      <c r="AT33" s="72"/>
      <c r="AU33" s="24"/>
      <c r="AV33" s="73"/>
      <c r="AW33" s="73"/>
      <c r="AX33" s="73"/>
      <c r="AY33" s="72"/>
      <c r="AZ33" s="24"/>
      <c r="BA33" s="73"/>
      <c r="BB33" s="73"/>
      <c r="BC33" s="73"/>
      <c r="BD33" s="72"/>
      <c r="BE33" s="24"/>
    </row>
    <row r="34" spans="1:57">
      <c r="A34" s="69" t="s">
        <v>151</v>
      </c>
      <c r="B34" s="38">
        <v>963</v>
      </c>
      <c r="C34" s="69">
        <v>970</v>
      </c>
      <c r="D34" s="69">
        <v>982</v>
      </c>
      <c r="E34" s="69">
        <v>994</v>
      </c>
      <c r="F34" s="70">
        <v>1005</v>
      </c>
      <c r="G34" s="38">
        <v>1005</v>
      </c>
      <c r="H34" s="70">
        <v>1011</v>
      </c>
      <c r="I34" s="70">
        <v>1016</v>
      </c>
      <c r="J34" s="70">
        <v>1026</v>
      </c>
      <c r="K34" s="70">
        <v>1035</v>
      </c>
      <c r="L34" s="37">
        <v>1035</v>
      </c>
      <c r="M34" s="70">
        <v>1045</v>
      </c>
      <c r="N34" s="70">
        <v>1051</v>
      </c>
      <c r="O34" s="70">
        <v>1056</v>
      </c>
      <c r="P34" s="70">
        <v>1066</v>
      </c>
      <c r="Q34" s="37">
        <v>1066</v>
      </c>
      <c r="R34" s="70">
        <v>1079</v>
      </c>
      <c r="S34" s="70">
        <v>1088</v>
      </c>
      <c r="T34" s="70">
        <v>1100</v>
      </c>
      <c r="U34" s="70">
        <v>1111</v>
      </c>
      <c r="V34" s="37">
        <v>1111</v>
      </c>
      <c r="W34" s="70">
        <v>1121</v>
      </c>
      <c r="X34" s="70">
        <v>1136</v>
      </c>
      <c r="Y34" s="70">
        <v>1153</v>
      </c>
      <c r="Z34" s="70">
        <v>1169</v>
      </c>
      <c r="AA34" s="37">
        <v>1169</v>
      </c>
      <c r="AB34" s="70">
        <v>1185</v>
      </c>
      <c r="AC34" s="70">
        <v>1202</v>
      </c>
      <c r="AD34" s="70">
        <v>1230</v>
      </c>
      <c r="AE34" s="70">
        <v>1263</v>
      </c>
      <c r="AF34" s="37">
        <v>1263</v>
      </c>
      <c r="AG34" s="70">
        <v>1289</v>
      </c>
      <c r="AH34" s="70">
        <v>1308</v>
      </c>
      <c r="AI34" s="70">
        <v>1335</v>
      </c>
      <c r="AJ34" s="70">
        <v>1364</v>
      </c>
      <c r="AK34" s="37">
        <v>1364</v>
      </c>
      <c r="AL34" s="70">
        <v>1390</v>
      </c>
      <c r="AM34" s="70">
        <v>1418</v>
      </c>
      <c r="AN34" s="70">
        <v>1448</v>
      </c>
      <c r="AO34" s="70">
        <v>1479</v>
      </c>
      <c r="AP34" s="37">
        <v>1479</v>
      </c>
      <c r="AQ34" s="70">
        <v>1503</v>
      </c>
      <c r="AR34" s="70">
        <v>1521</v>
      </c>
      <c r="AS34" s="70">
        <v>1539</v>
      </c>
      <c r="AT34" s="70">
        <v>1558</v>
      </c>
      <c r="AU34" s="37">
        <v>1558</v>
      </c>
      <c r="AV34" s="70">
        <v>1580</v>
      </c>
      <c r="AW34" s="70">
        <v>1593</v>
      </c>
      <c r="AX34" s="70">
        <v>1608</v>
      </c>
      <c r="AY34" s="70">
        <v>1635</v>
      </c>
      <c r="AZ34" s="37">
        <v>1635</v>
      </c>
      <c r="BA34" s="70">
        <v>1653</v>
      </c>
      <c r="BB34" s="70">
        <v>1662</v>
      </c>
      <c r="BC34" s="70">
        <v>1663</v>
      </c>
      <c r="BD34" s="70">
        <v>1656</v>
      </c>
      <c r="BE34" s="37">
        <v>1656</v>
      </c>
    </row>
    <row r="35" spans="1:57">
      <c r="A35" s="232" t="s">
        <v>7</v>
      </c>
      <c r="B35" s="24"/>
      <c r="C35" s="72"/>
      <c r="D35" s="72">
        <f>D34/C34-1</f>
        <v>1.2371134020618513E-2</v>
      </c>
      <c r="E35" s="72">
        <f>E34/D34-1</f>
        <v>1.2219959266802416E-2</v>
      </c>
      <c r="F35" s="72">
        <f>F34/E34-1</f>
        <v>1.1066398390342069E-2</v>
      </c>
      <c r="G35" s="24"/>
      <c r="H35" s="72">
        <f>H34/F34-1</f>
        <v>5.9701492537314049E-3</v>
      </c>
      <c r="I35" s="72">
        <f>I34/H34-1</f>
        <v>4.9455984174084922E-3</v>
      </c>
      <c r="J35" s="72">
        <f>J34/I34-1</f>
        <v>9.8425196850393526E-3</v>
      </c>
      <c r="K35" s="72">
        <f>K34/J34-1</f>
        <v>8.7719298245614308E-3</v>
      </c>
      <c r="L35" s="27"/>
      <c r="M35" s="72">
        <f>M34/K34-1</f>
        <v>9.6618357487923134E-3</v>
      </c>
      <c r="N35" s="72">
        <f>N34/M34-1</f>
        <v>5.7416267942582699E-3</v>
      </c>
      <c r="O35" s="72">
        <f>O34/N34-1</f>
        <v>4.7573739295909689E-3</v>
      </c>
      <c r="P35" s="72">
        <f>P34/O34-1</f>
        <v>9.4696969696970168E-3</v>
      </c>
      <c r="Q35" s="27"/>
      <c r="R35" s="72">
        <v>1.2195121951219523E-2</v>
      </c>
      <c r="S35" s="72">
        <v>8.3410565338275511E-3</v>
      </c>
      <c r="T35" s="72">
        <v>1.1029411764705843E-2</v>
      </c>
      <c r="U35" s="72">
        <v>1.0000000000000009E-2</v>
      </c>
      <c r="V35" s="27"/>
      <c r="W35" s="72">
        <v>9.0009000900090896E-3</v>
      </c>
      <c r="X35" s="72">
        <v>1.338090990187335E-2</v>
      </c>
      <c r="Y35" s="72">
        <v>1.4964788732394263E-2</v>
      </c>
      <c r="Z35" s="72">
        <v>1.3876843018213458E-2</v>
      </c>
      <c r="AA35" s="27"/>
      <c r="AB35" s="72">
        <v>1.3686911890504749E-2</v>
      </c>
      <c r="AC35" s="72">
        <v>1.4345991561181437E-2</v>
      </c>
      <c r="AD35" s="72">
        <v>2.3294509151414289E-2</v>
      </c>
      <c r="AE35" s="72">
        <v>2.6829268292682951E-2</v>
      </c>
      <c r="AF35" s="27"/>
      <c r="AG35" s="72">
        <v>2.0585906571654711E-2</v>
      </c>
      <c r="AH35" s="72">
        <v>1.4740108611326574E-2</v>
      </c>
      <c r="AI35" s="72">
        <v>2.0642201834862428E-2</v>
      </c>
      <c r="AJ35" s="72">
        <v>2.1722846441947663E-2</v>
      </c>
      <c r="AK35" s="27"/>
      <c r="AL35" s="72">
        <v>1.9061583577712593E-2</v>
      </c>
      <c r="AM35" s="72">
        <v>2.0143884892086295E-2</v>
      </c>
      <c r="AN35" s="72">
        <v>2.1156558533145242E-2</v>
      </c>
      <c r="AO35" s="72">
        <v>2.140883977900554E-2</v>
      </c>
      <c r="AP35" s="27"/>
      <c r="AQ35" s="72">
        <v>1.6227180527383478E-2</v>
      </c>
      <c r="AR35" s="72">
        <v>1.1976047904191711E-2</v>
      </c>
      <c r="AS35" s="72">
        <v>1.1834319526627279E-2</v>
      </c>
      <c r="AT35" s="72">
        <v>1.2345679012345734E-2</v>
      </c>
      <c r="AU35" s="27"/>
      <c r="AV35" s="72">
        <v>1.4120667522464769E-2</v>
      </c>
      <c r="AW35" s="72">
        <v>8.2278481012658666E-3</v>
      </c>
      <c r="AX35" s="72">
        <v>9.4161958568739212E-3</v>
      </c>
      <c r="AY35" s="72">
        <v>1.6791044776119479E-2</v>
      </c>
      <c r="AZ35" s="27"/>
      <c r="BA35" s="72">
        <v>1.1009174311926495E-2</v>
      </c>
      <c r="BB35" s="72">
        <v>5.4446460980035472E-3</v>
      </c>
      <c r="BC35" s="72">
        <v>6.0168471720811745E-4</v>
      </c>
      <c r="BD35" s="72">
        <v>-4.2092603728202116E-3</v>
      </c>
      <c r="BE35" s="24"/>
    </row>
    <row r="36" spans="1:57">
      <c r="A36" s="71" t="s">
        <v>8</v>
      </c>
      <c r="B36" s="24"/>
      <c r="C36" s="73"/>
      <c r="D36" s="73"/>
      <c r="E36" s="73"/>
      <c r="F36" s="73"/>
      <c r="G36" s="24">
        <f t="shared" ref="G36:N36" si="9">G34/B34-1</f>
        <v>4.3613707165109039E-2</v>
      </c>
      <c r="H36" s="73">
        <f t="shared" si="9"/>
        <v>4.2268041237113474E-2</v>
      </c>
      <c r="I36" s="73">
        <f t="shared" si="9"/>
        <v>3.4623217922606919E-2</v>
      </c>
      <c r="J36" s="73">
        <f t="shared" si="9"/>
        <v>3.2193158953722323E-2</v>
      </c>
      <c r="K36" s="72">
        <f t="shared" si="9"/>
        <v>2.9850746268656803E-2</v>
      </c>
      <c r="L36" s="24">
        <f t="shared" si="9"/>
        <v>2.9850746268656803E-2</v>
      </c>
      <c r="M36" s="73">
        <f t="shared" si="9"/>
        <v>3.3630069238377747E-2</v>
      </c>
      <c r="N36" s="73">
        <f t="shared" si="9"/>
        <v>3.4448818897637734E-2</v>
      </c>
      <c r="O36" s="73">
        <f t="shared" ref="O36:P36" si="10">O34/J34-1</f>
        <v>2.9239766081871288E-2</v>
      </c>
      <c r="P36" s="72">
        <f t="shared" si="10"/>
        <v>2.9951690821256038E-2</v>
      </c>
      <c r="Q36" s="24">
        <v>2.9951690821256038E-2</v>
      </c>
      <c r="R36" s="73">
        <v>3.2535885167464196E-2</v>
      </c>
      <c r="S36" s="73">
        <v>3.520456707897246E-2</v>
      </c>
      <c r="T36" s="73">
        <v>4.1666666666666741E-2</v>
      </c>
      <c r="U36" s="72">
        <v>4.2213883677298281E-2</v>
      </c>
      <c r="V36" s="24">
        <v>4.2213883677298281E-2</v>
      </c>
      <c r="W36" s="73">
        <v>3.8924930491195608E-2</v>
      </c>
      <c r="X36" s="73">
        <v>4.4117647058823595E-2</v>
      </c>
      <c r="Y36" s="73">
        <v>4.8181818181818103E-2</v>
      </c>
      <c r="Z36" s="72">
        <v>5.2205220522052231E-2</v>
      </c>
      <c r="AA36" s="24">
        <v>5.2205220522052231E-2</v>
      </c>
      <c r="AB36" s="73">
        <v>5.7091882247992887E-2</v>
      </c>
      <c r="AC36" s="73">
        <v>5.8098591549295753E-2</v>
      </c>
      <c r="AD36" s="73">
        <v>6.6782307025151866E-2</v>
      </c>
      <c r="AE36" s="72">
        <v>8.0410607356715236E-2</v>
      </c>
      <c r="AF36" s="24">
        <v>8.0410607356715236E-2</v>
      </c>
      <c r="AG36" s="73">
        <v>8.7763713080168726E-2</v>
      </c>
      <c r="AH36" s="73">
        <v>8.8186356073211236E-2</v>
      </c>
      <c r="AI36" s="73">
        <v>8.5365853658536661E-2</v>
      </c>
      <c r="AJ36" s="72">
        <v>7.9968329374505043E-2</v>
      </c>
      <c r="AK36" s="24">
        <v>7.9968329374505043E-2</v>
      </c>
      <c r="AL36" s="73">
        <v>7.8355314197051884E-2</v>
      </c>
      <c r="AM36" s="73">
        <v>8.4097859327217028E-2</v>
      </c>
      <c r="AN36" s="73">
        <v>8.4644194756554381E-2</v>
      </c>
      <c r="AO36" s="72">
        <v>8.4310850439882623E-2</v>
      </c>
      <c r="AP36" s="24">
        <v>8.4310850439882623E-2</v>
      </c>
      <c r="AQ36" s="73">
        <v>8.1294964028777006E-2</v>
      </c>
      <c r="AR36" s="73">
        <v>7.2637517630465442E-2</v>
      </c>
      <c r="AS36" s="73">
        <v>6.2845303867403279E-2</v>
      </c>
      <c r="AT36" s="72">
        <v>5.3414469235970152E-2</v>
      </c>
      <c r="AU36" s="24">
        <v>5.3414469235970152E-2</v>
      </c>
      <c r="AV36" s="73">
        <v>5.1230871590153049E-2</v>
      </c>
      <c r="AW36" s="73">
        <v>4.7337278106508895E-2</v>
      </c>
      <c r="AX36" s="73">
        <v>4.4834307992202671E-2</v>
      </c>
      <c r="AY36" s="72">
        <v>4.942233632862636E-2</v>
      </c>
      <c r="AZ36" s="24">
        <v>4.942233632862636E-2</v>
      </c>
      <c r="BA36" s="73">
        <v>4.6202531645569644E-2</v>
      </c>
      <c r="BB36" s="73">
        <v>4.3314500941619594E-2</v>
      </c>
      <c r="BC36" s="73">
        <v>3.4203980099502429E-2</v>
      </c>
      <c r="BD36" s="72">
        <v>1.2844036697247763E-2</v>
      </c>
      <c r="BE36" s="24">
        <v>1.2844036697247763E-2</v>
      </c>
    </row>
    <row r="37" spans="1:57">
      <c r="A37" s="71" t="s">
        <v>213</v>
      </c>
      <c r="B37" s="24"/>
      <c r="C37" s="73"/>
      <c r="D37" s="73"/>
      <c r="E37" s="73"/>
      <c r="F37" s="73"/>
      <c r="G37" s="200">
        <f>G34-B34</f>
        <v>42</v>
      </c>
      <c r="H37" s="73"/>
      <c r="I37" s="73"/>
      <c r="J37" s="73"/>
      <c r="K37" s="72"/>
      <c r="L37" s="200">
        <f>L34-G34</f>
        <v>30</v>
      </c>
      <c r="M37" s="73"/>
      <c r="N37" s="73"/>
      <c r="O37" s="73"/>
      <c r="P37" s="72"/>
      <c r="Q37" s="200">
        <v>31</v>
      </c>
      <c r="R37" s="73"/>
      <c r="S37" s="73"/>
      <c r="T37" s="73"/>
      <c r="U37" s="72"/>
      <c r="V37" s="200">
        <v>45</v>
      </c>
      <c r="W37" s="73"/>
      <c r="X37" s="73"/>
      <c r="Y37" s="73"/>
      <c r="Z37" s="72"/>
      <c r="AA37" s="200">
        <v>58</v>
      </c>
      <c r="AB37" s="73"/>
      <c r="AC37" s="73"/>
      <c r="AD37" s="73"/>
      <c r="AE37" s="72"/>
      <c r="AF37" s="200">
        <v>94</v>
      </c>
      <c r="AG37" s="73"/>
      <c r="AH37" s="73"/>
      <c r="AI37" s="73"/>
      <c r="AJ37" s="72"/>
      <c r="AK37" s="200">
        <v>101</v>
      </c>
      <c r="AL37" s="73"/>
      <c r="AM37" s="197">
        <v>28</v>
      </c>
      <c r="AN37" s="197">
        <v>30</v>
      </c>
      <c r="AO37" s="197">
        <v>31</v>
      </c>
      <c r="AP37" s="200">
        <v>115</v>
      </c>
      <c r="AQ37" s="199">
        <v>24</v>
      </c>
      <c r="AR37" s="199">
        <v>18</v>
      </c>
      <c r="AS37" s="199">
        <v>18</v>
      </c>
      <c r="AT37" s="199">
        <v>19</v>
      </c>
      <c r="AU37" s="200">
        <v>79</v>
      </c>
      <c r="AV37" s="199">
        <v>22</v>
      </c>
      <c r="AW37" s="199">
        <v>13</v>
      </c>
      <c r="AX37" s="199">
        <v>15</v>
      </c>
      <c r="AY37" s="199">
        <v>27</v>
      </c>
      <c r="AZ37" s="200">
        <v>77</v>
      </c>
      <c r="BA37" s="199">
        <v>18</v>
      </c>
      <c r="BB37" s="199">
        <v>9</v>
      </c>
      <c r="BC37" s="199">
        <v>1</v>
      </c>
      <c r="BD37" s="199">
        <v>-7</v>
      </c>
      <c r="BE37" s="200">
        <v>21</v>
      </c>
    </row>
    <row r="38" spans="1:57" ht="8.25" customHeight="1">
      <c r="A38" s="71"/>
      <c r="B38" s="24"/>
      <c r="C38" s="73"/>
      <c r="D38" s="73"/>
      <c r="E38" s="73"/>
      <c r="F38" s="73"/>
      <c r="G38" s="24"/>
      <c r="H38" s="73"/>
      <c r="I38" s="73"/>
      <c r="J38" s="73"/>
      <c r="K38" s="72"/>
      <c r="L38" s="24"/>
      <c r="M38" s="73"/>
      <c r="N38" s="73"/>
      <c r="O38" s="73"/>
      <c r="P38" s="72"/>
      <c r="Q38" s="24"/>
      <c r="R38" s="73"/>
      <c r="S38" s="73"/>
      <c r="T38" s="73"/>
      <c r="U38" s="72"/>
      <c r="V38" s="24"/>
      <c r="W38" s="73"/>
      <c r="X38" s="73"/>
      <c r="Y38" s="73"/>
      <c r="Z38" s="72"/>
      <c r="AA38" s="24"/>
      <c r="AB38" s="73"/>
      <c r="AC38" s="73"/>
      <c r="AD38" s="73"/>
      <c r="AE38" s="72"/>
      <c r="AF38" s="24"/>
      <c r="AG38" s="73"/>
      <c r="AH38" s="73"/>
      <c r="AI38" s="73"/>
      <c r="AJ38" s="72"/>
      <c r="AK38" s="24"/>
      <c r="AL38" s="73"/>
      <c r="AM38" s="73"/>
      <c r="AN38" s="73"/>
      <c r="AO38" s="72"/>
      <c r="AP38" s="24"/>
      <c r="AQ38" s="73"/>
      <c r="AR38" s="73"/>
      <c r="AS38" s="73"/>
      <c r="AT38" s="72"/>
      <c r="AU38" s="24"/>
      <c r="AV38" s="73"/>
      <c r="AW38" s="73"/>
      <c r="AX38" s="73"/>
      <c r="AY38" s="72"/>
      <c r="AZ38" s="24"/>
      <c r="BA38" s="73"/>
      <c r="BB38" s="73"/>
      <c r="BC38" s="73"/>
      <c r="BD38" s="72"/>
      <c r="BE38" s="24"/>
    </row>
    <row r="39" spans="1:57" ht="15.6">
      <c r="A39" s="69" t="s">
        <v>148</v>
      </c>
      <c r="B39" s="150" t="s">
        <v>147</v>
      </c>
      <c r="C39" s="83" t="s">
        <v>147</v>
      </c>
      <c r="D39" s="83" t="s">
        <v>147</v>
      </c>
      <c r="E39" s="83" t="s">
        <v>147</v>
      </c>
      <c r="F39" s="83" t="s">
        <v>147</v>
      </c>
      <c r="G39" s="150" t="s">
        <v>147</v>
      </c>
      <c r="H39" s="83" t="s">
        <v>147</v>
      </c>
      <c r="I39" s="83" t="s">
        <v>147</v>
      </c>
      <c r="J39" s="83" t="s">
        <v>147</v>
      </c>
      <c r="K39" s="83" t="s">
        <v>147</v>
      </c>
      <c r="L39" s="150" t="s">
        <v>147</v>
      </c>
      <c r="M39" s="83" t="s">
        <v>147</v>
      </c>
      <c r="N39" s="83" t="s">
        <v>147</v>
      </c>
      <c r="O39" s="83" t="s">
        <v>147</v>
      </c>
      <c r="P39" s="83" t="s">
        <v>147</v>
      </c>
      <c r="Q39" s="150" t="s">
        <v>147</v>
      </c>
      <c r="R39" s="83" t="s">
        <v>147</v>
      </c>
      <c r="S39" s="83" t="s">
        <v>147</v>
      </c>
      <c r="T39" s="83" t="s">
        <v>147</v>
      </c>
      <c r="U39" s="83" t="s">
        <v>147</v>
      </c>
      <c r="V39" s="150" t="s">
        <v>147</v>
      </c>
      <c r="W39" s="83" t="s">
        <v>147</v>
      </c>
      <c r="X39" s="83" t="s">
        <v>147</v>
      </c>
      <c r="Y39" s="83" t="s">
        <v>147</v>
      </c>
      <c r="Z39" s="83" t="s">
        <v>147</v>
      </c>
      <c r="AA39" s="150" t="s">
        <v>147</v>
      </c>
      <c r="AB39" s="149" t="s">
        <v>147</v>
      </c>
      <c r="AC39" s="149" t="s">
        <v>147</v>
      </c>
      <c r="AD39" s="149" t="s">
        <v>147</v>
      </c>
      <c r="AE39" s="149" t="s">
        <v>147</v>
      </c>
      <c r="AF39" s="150" t="s">
        <v>147</v>
      </c>
      <c r="AG39" s="149" t="s">
        <v>147</v>
      </c>
      <c r="AH39" s="149" t="s">
        <v>147</v>
      </c>
      <c r="AI39" s="149" t="s">
        <v>147</v>
      </c>
      <c r="AJ39" s="149" t="s">
        <v>147</v>
      </c>
      <c r="AK39" s="150" t="s">
        <v>147</v>
      </c>
      <c r="AL39" s="70">
        <v>11</v>
      </c>
      <c r="AM39" s="70">
        <v>78</v>
      </c>
      <c r="AN39" s="70">
        <v>177</v>
      </c>
      <c r="AO39" s="70">
        <v>244</v>
      </c>
      <c r="AP39" s="37">
        <v>244</v>
      </c>
      <c r="AQ39" s="70">
        <v>290</v>
      </c>
      <c r="AR39" s="70">
        <v>323</v>
      </c>
      <c r="AS39" s="70">
        <v>347</v>
      </c>
      <c r="AT39" s="70">
        <v>377</v>
      </c>
      <c r="AU39" s="37">
        <v>377</v>
      </c>
      <c r="AV39" s="70">
        <v>414</v>
      </c>
      <c r="AW39" s="70">
        <v>444</v>
      </c>
      <c r="AX39" s="70">
        <v>484</v>
      </c>
      <c r="AY39" s="70">
        <v>532</v>
      </c>
      <c r="AZ39" s="37">
        <v>532</v>
      </c>
      <c r="BA39" s="70">
        <v>574</v>
      </c>
      <c r="BB39" s="70">
        <v>600</v>
      </c>
      <c r="BC39" s="70">
        <v>617</v>
      </c>
      <c r="BD39" s="70">
        <v>626</v>
      </c>
      <c r="BE39" s="37">
        <v>626</v>
      </c>
    </row>
    <row r="40" spans="1:57">
      <c r="A40" s="71" t="s">
        <v>7</v>
      </c>
      <c r="B40" s="24"/>
      <c r="C40" s="73"/>
      <c r="D40" s="73"/>
      <c r="E40" s="73"/>
      <c r="F40" s="73"/>
      <c r="G40" s="24"/>
      <c r="H40" s="73"/>
      <c r="I40" s="73"/>
      <c r="J40" s="73"/>
      <c r="K40" s="72"/>
      <c r="L40" s="24"/>
      <c r="M40" s="73"/>
      <c r="N40" s="73"/>
      <c r="O40" s="73"/>
      <c r="P40" s="72"/>
      <c r="Q40" s="24"/>
      <c r="R40" s="73"/>
      <c r="S40" s="73"/>
      <c r="T40" s="73"/>
      <c r="U40" s="72"/>
      <c r="V40" s="24"/>
      <c r="W40" s="73"/>
      <c r="X40" s="73"/>
      <c r="Y40" s="73"/>
      <c r="Z40" s="72"/>
      <c r="AA40" s="24"/>
      <c r="AB40" s="73"/>
      <c r="AC40" s="73"/>
      <c r="AD40" s="73"/>
      <c r="AE40" s="72"/>
      <c r="AF40" s="24"/>
      <c r="AG40" s="73"/>
      <c r="AH40" s="73"/>
      <c r="AI40" s="73"/>
      <c r="AJ40" s="72"/>
      <c r="AK40" s="24"/>
      <c r="AL40" s="73"/>
      <c r="AM40" s="72">
        <v>6.0909090909090908</v>
      </c>
      <c r="AN40" s="72">
        <v>1.2692307692307692</v>
      </c>
      <c r="AO40" s="72">
        <v>0.37853107344632764</v>
      </c>
      <c r="AP40" s="24"/>
      <c r="AQ40" s="72">
        <v>0.18852459016393452</v>
      </c>
      <c r="AR40" s="72">
        <v>0.11379310344827576</v>
      </c>
      <c r="AS40" s="72">
        <v>7.4303405572755388E-2</v>
      </c>
      <c r="AT40" s="72">
        <v>8.6455331412103709E-2</v>
      </c>
      <c r="AU40" s="24"/>
      <c r="AV40" s="72">
        <v>9.8143236074270668E-2</v>
      </c>
      <c r="AW40" s="72">
        <v>7.2463768115942129E-2</v>
      </c>
      <c r="AX40" s="72">
        <v>9.0090090090090058E-2</v>
      </c>
      <c r="AY40" s="72">
        <v>9.9173553719008156E-2</v>
      </c>
      <c r="AZ40" s="24"/>
      <c r="BA40" s="72">
        <v>7.8947368421052655E-2</v>
      </c>
      <c r="BB40" s="72">
        <v>4.5296167247386832E-2</v>
      </c>
      <c r="BC40" s="72">
        <v>2.8333333333333321E-2</v>
      </c>
      <c r="BD40" s="72">
        <v>1.4586709886547755E-2</v>
      </c>
      <c r="BE40" s="24"/>
    </row>
    <row r="41" spans="1:57">
      <c r="A41" s="71" t="s">
        <v>8</v>
      </c>
      <c r="B41" s="24"/>
      <c r="C41" s="73"/>
      <c r="D41" s="73"/>
      <c r="E41" s="73"/>
      <c r="F41" s="73"/>
      <c r="G41" s="24"/>
      <c r="H41" s="73"/>
      <c r="I41" s="73"/>
      <c r="J41" s="73"/>
      <c r="K41" s="72"/>
      <c r="L41" s="24"/>
      <c r="M41" s="73"/>
      <c r="N41" s="73"/>
      <c r="O41" s="73"/>
      <c r="P41" s="72"/>
      <c r="Q41" s="24"/>
      <c r="R41" s="73"/>
      <c r="S41" s="73"/>
      <c r="T41" s="73"/>
      <c r="U41" s="72"/>
      <c r="V41" s="24"/>
      <c r="W41" s="73"/>
      <c r="X41" s="73"/>
      <c r="Y41" s="73"/>
      <c r="Z41" s="72"/>
      <c r="AA41" s="24"/>
      <c r="AB41" s="73"/>
      <c r="AC41" s="73"/>
      <c r="AD41" s="73"/>
      <c r="AE41" s="72"/>
      <c r="AF41" s="24"/>
      <c r="AG41" s="73"/>
      <c r="AH41" s="73"/>
      <c r="AI41" s="73"/>
      <c r="AJ41" s="72"/>
      <c r="AK41" s="24"/>
      <c r="AL41" s="73"/>
      <c r="AM41" s="73"/>
      <c r="AN41" s="73"/>
      <c r="AO41" s="72"/>
      <c r="AP41" s="24"/>
      <c r="AQ41" s="73">
        <v>25.363636363636363</v>
      </c>
      <c r="AR41" s="73">
        <v>3.1410256410256414</v>
      </c>
      <c r="AS41" s="73">
        <v>0.96045197740112997</v>
      </c>
      <c r="AT41" s="72"/>
      <c r="AU41" s="24">
        <v>0.54508196721311486</v>
      </c>
      <c r="AV41" s="73">
        <v>0.42758620689655169</v>
      </c>
      <c r="AW41" s="73">
        <v>0.37461300309597534</v>
      </c>
      <c r="AX41" s="73">
        <v>0.39481268011527382</v>
      </c>
      <c r="AY41" s="72">
        <v>0.41114058355437666</v>
      </c>
      <c r="AZ41" s="24">
        <v>0.41114058355437666</v>
      </c>
      <c r="BA41" s="73">
        <v>0.38647342995169076</v>
      </c>
      <c r="BB41" s="73">
        <v>0.35135135135135132</v>
      </c>
      <c r="BC41" s="73">
        <v>0.27479338842975198</v>
      </c>
      <c r="BD41" s="72">
        <v>0.17669172932330834</v>
      </c>
      <c r="BE41" s="24">
        <v>0.17669172932330834</v>
      </c>
    </row>
    <row r="42" spans="1:57">
      <c r="A42" s="71" t="s">
        <v>213</v>
      </c>
      <c r="B42" s="24"/>
      <c r="C42" s="73"/>
      <c r="D42" s="73"/>
      <c r="E42" s="73"/>
      <c r="F42" s="73"/>
      <c r="G42" s="24"/>
      <c r="H42" s="73"/>
      <c r="I42" s="73"/>
      <c r="J42" s="73"/>
      <c r="K42" s="72"/>
      <c r="L42" s="24"/>
      <c r="M42" s="73"/>
      <c r="N42" s="73"/>
      <c r="O42" s="73"/>
      <c r="P42" s="72"/>
      <c r="Q42" s="24"/>
      <c r="R42" s="73"/>
      <c r="S42" s="73"/>
      <c r="T42" s="73"/>
      <c r="U42" s="72"/>
      <c r="V42" s="24"/>
      <c r="W42" s="73"/>
      <c r="X42" s="73"/>
      <c r="Y42" s="73"/>
      <c r="Z42" s="72"/>
      <c r="AA42" s="24"/>
      <c r="AB42" s="73"/>
      <c r="AC42" s="73"/>
      <c r="AD42" s="73"/>
      <c r="AE42" s="72"/>
      <c r="AF42" s="24"/>
      <c r="AG42" s="73"/>
      <c r="AH42" s="73"/>
      <c r="AI42" s="73"/>
      <c r="AJ42" s="72"/>
      <c r="AK42" s="24"/>
      <c r="AL42" s="73"/>
      <c r="AM42" s="197">
        <v>67</v>
      </c>
      <c r="AN42" s="197">
        <v>99</v>
      </c>
      <c r="AO42" s="197">
        <v>67</v>
      </c>
      <c r="AP42" s="198"/>
      <c r="AQ42" s="199">
        <v>46</v>
      </c>
      <c r="AR42" s="199">
        <v>33</v>
      </c>
      <c r="AS42" s="199">
        <v>24</v>
      </c>
      <c r="AT42" s="199">
        <v>30</v>
      </c>
      <c r="AU42" s="200">
        <v>133</v>
      </c>
      <c r="AV42" s="199">
        <v>37</v>
      </c>
      <c r="AW42" s="199">
        <v>30</v>
      </c>
      <c r="AX42" s="199">
        <v>40</v>
      </c>
      <c r="AY42" s="199">
        <v>48</v>
      </c>
      <c r="AZ42" s="200">
        <v>155</v>
      </c>
      <c r="BA42" s="199">
        <v>42</v>
      </c>
      <c r="BB42" s="199">
        <v>26</v>
      </c>
      <c r="BC42" s="199">
        <v>17</v>
      </c>
      <c r="BD42" s="199">
        <v>9</v>
      </c>
      <c r="BE42" s="200">
        <v>94</v>
      </c>
    </row>
    <row r="43" spans="1:57">
      <c r="A43" s="71" t="s">
        <v>270</v>
      </c>
      <c r="B43" s="24"/>
      <c r="C43" s="73"/>
      <c r="D43" s="73"/>
      <c r="E43" s="73"/>
      <c r="F43" s="73"/>
      <c r="G43" s="24"/>
      <c r="H43" s="73"/>
      <c r="I43" s="73"/>
      <c r="J43" s="73"/>
      <c r="K43" s="72"/>
      <c r="L43" s="24"/>
      <c r="M43" s="73"/>
      <c r="N43" s="73"/>
      <c r="O43" s="73"/>
      <c r="P43" s="72"/>
      <c r="Q43" s="24"/>
      <c r="R43" s="73"/>
      <c r="S43" s="73"/>
      <c r="T43" s="73"/>
      <c r="U43" s="72"/>
      <c r="V43" s="24"/>
      <c r="W43" s="73"/>
      <c r="X43" s="73"/>
      <c r="Y43" s="73"/>
      <c r="Z43" s="72"/>
      <c r="AA43" s="24"/>
      <c r="AB43" s="73"/>
      <c r="AC43" s="73"/>
      <c r="AD43" s="73"/>
      <c r="AE43" s="72"/>
      <c r="AF43" s="24"/>
      <c r="AG43" s="73"/>
      <c r="AH43" s="73"/>
      <c r="AI43" s="73"/>
      <c r="AJ43" s="72"/>
      <c r="AK43" s="24"/>
      <c r="AL43" s="201">
        <v>7.9136690647482015E-3</v>
      </c>
      <c r="AM43" s="201">
        <v>5.5007052186177713E-2</v>
      </c>
      <c r="AN43" s="201">
        <v>0.12223756906077347</v>
      </c>
      <c r="AO43" s="201">
        <v>0.1649763353617309</v>
      </c>
      <c r="AP43" s="202">
        <v>0.1649763353617309</v>
      </c>
      <c r="AQ43" s="201">
        <v>0.19294743845642048</v>
      </c>
      <c r="AR43" s="201">
        <v>0.2123602892833662</v>
      </c>
      <c r="AS43" s="201">
        <v>0.22547108512020791</v>
      </c>
      <c r="AT43" s="201">
        <v>0.24197689345314505</v>
      </c>
      <c r="AU43" s="202">
        <v>0.24197689345314505</v>
      </c>
      <c r="AV43" s="201">
        <v>0.26202531645569621</v>
      </c>
      <c r="AW43" s="201">
        <v>0.27871939736346518</v>
      </c>
      <c r="AX43" s="201">
        <v>0.30099502487562191</v>
      </c>
      <c r="AY43" s="201">
        <v>0.3253822629969419</v>
      </c>
      <c r="AZ43" s="202">
        <v>0.3253822629969419</v>
      </c>
      <c r="BA43" s="201">
        <v>0.3472474289171204</v>
      </c>
      <c r="BB43" s="201">
        <v>0.36101083032490977</v>
      </c>
      <c r="BC43" s="201">
        <v>0.37101623571858089</v>
      </c>
      <c r="BD43" s="201">
        <v>0.3780193236714976</v>
      </c>
      <c r="BE43" s="202">
        <v>0.3780193236714976</v>
      </c>
    </row>
    <row r="44" spans="1:57" ht="6" customHeight="1">
      <c r="A44" s="71"/>
      <c r="B44" s="24"/>
      <c r="C44" s="73"/>
      <c r="D44" s="73"/>
      <c r="E44" s="73"/>
      <c r="F44" s="73"/>
      <c r="G44" s="24"/>
      <c r="H44" s="73"/>
      <c r="I44" s="73"/>
      <c r="J44" s="73"/>
      <c r="K44" s="72"/>
      <c r="L44" s="24"/>
      <c r="M44" s="73"/>
      <c r="N44" s="73"/>
      <c r="O44" s="73"/>
      <c r="P44" s="72"/>
      <c r="Q44" s="24"/>
      <c r="R44" s="73"/>
      <c r="S44" s="73"/>
      <c r="T44" s="73"/>
      <c r="U44" s="72"/>
      <c r="V44" s="24"/>
      <c r="W44" s="73"/>
      <c r="X44" s="73"/>
      <c r="Y44" s="73"/>
      <c r="Z44" s="72"/>
      <c r="AA44" s="24"/>
      <c r="AB44" s="73"/>
      <c r="AC44" s="73"/>
      <c r="AD44" s="73"/>
      <c r="AE44" s="72"/>
      <c r="AF44" s="24"/>
      <c r="AG44" s="73"/>
      <c r="AH44" s="73"/>
      <c r="AI44" s="73"/>
      <c r="AJ44" s="72"/>
      <c r="AK44" s="24"/>
      <c r="AL44" s="73"/>
      <c r="AM44" s="73"/>
      <c r="AN44" s="73"/>
      <c r="AO44" s="72"/>
      <c r="AP44" s="24"/>
      <c r="AQ44" s="73"/>
      <c r="AR44" s="73"/>
      <c r="AS44" s="73"/>
      <c r="AT44" s="72"/>
      <c r="AU44" s="24"/>
      <c r="AV44" s="73"/>
      <c r="AW44" s="73"/>
      <c r="AX44" s="73"/>
      <c r="AY44" s="72"/>
      <c r="AZ44" s="24"/>
      <c r="BA44" s="73"/>
      <c r="BB44" s="73"/>
      <c r="BC44" s="73"/>
      <c r="BD44" s="72"/>
      <c r="BE44" s="24"/>
    </row>
    <row r="45" spans="1:57">
      <c r="A45" s="69" t="s">
        <v>207</v>
      </c>
      <c r="B45" s="38">
        <v>963</v>
      </c>
      <c r="C45" s="69">
        <v>970</v>
      </c>
      <c r="D45" s="69">
        <v>982</v>
      </c>
      <c r="E45" s="69">
        <v>994</v>
      </c>
      <c r="F45" s="70">
        <v>1005</v>
      </c>
      <c r="G45" s="38">
        <v>1005</v>
      </c>
      <c r="H45" s="70">
        <v>1011</v>
      </c>
      <c r="I45" s="70">
        <v>1016</v>
      </c>
      <c r="J45" s="70">
        <v>1026</v>
      </c>
      <c r="K45" s="70">
        <v>1035</v>
      </c>
      <c r="L45" s="37">
        <v>1035</v>
      </c>
      <c r="M45" s="70">
        <v>1045</v>
      </c>
      <c r="N45" s="70">
        <v>1051</v>
      </c>
      <c r="O45" s="70">
        <v>1056</v>
      </c>
      <c r="P45" s="70">
        <v>1066</v>
      </c>
      <c r="Q45" s="37">
        <v>1066</v>
      </c>
      <c r="R45" s="70">
        <v>1079</v>
      </c>
      <c r="S45" s="70">
        <v>1088</v>
      </c>
      <c r="T45" s="70">
        <v>1100</v>
      </c>
      <c r="U45" s="70">
        <v>1111</v>
      </c>
      <c r="V45" s="37">
        <v>1111</v>
      </c>
      <c r="W45" s="70">
        <v>1121</v>
      </c>
      <c r="X45" s="70">
        <v>1136</v>
      </c>
      <c r="Y45" s="70">
        <v>1153</v>
      </c>
      <c r="Z45" s="70">
        <v>1169</v>
      </c>
      <c r="AA45" s="37">
        <v>1169</v>
      </c>
      <c r="AB45" s="70">
        <v>1185</v>
      </c>
      <c r="AC45" s="70">
        <v>1202</v>
      </c>
      <c r="AD45" s="70">
        <v>1230</v>
      </c>
      <c r="AE45" s="70">
        <v>1263</v>
      </c>
      <c r="AF45" s="37">
        <v>1263</v>
      </c>
      <c r="AG45" s="70">
        <v>1289</v>
      </c>
      <c r="AH45" s="70">
        <v>1308</v>
      </c>
      <c r="AI45" s="70">
        <v>1335</v>
      </c>
      <c r="AJ45" s="70">
        <v>1364</v>
      </c>
      <c r="AK45" s="37">
        <v>1364</v>
      </c>
      <c r="AL45" s="70">
        <v>1379</v>
      </c>
      <c r="AM45" s="70">
        <v>1340</v>
      </c>
      <c r="AN45" s="70">
        <v>1271</v>
      </c>
      <c r="AO45" s="70">
        <v>1235</v>
      </c>
      <c r="AP45" s="37">
        <v>1235</v>
      </c>
      <c r="AQ45" s="70">
        <v>1213</v>
      </c>
      <c r="AR45" s="70">
        <v>1198</v>
      </c>
      <c r="AS45" s="70">
        <v>1192</v>
      </c>
      <c r="AT45" s="70">
        <v>1181</v>
      </c>
      <c r="AU45" s="37">
        <v>1181</v>
      </c>
      <c r="AV45" s="70">
        <v>1166</v>
      </c>
      <c r="AW45" s="70">
        <v>1149</v>
      </c>
      <c r="AX45" s="70">
        <v>1124</v>
      </c>
      <c r="AY45" s="70">
        <v>1103</v>
      </c>
      <c r="AZ45" s="37">
        <v>1103</v>
      </c>
      <c r="BA45" s="70">
        <v>1079</v>
      </c>
      <c r="BB45" s="70">
        <v>1062</v>
      </c>
      <c r="BC45" s="70">
        <v>1046</v>
      </c>
      <c r="BD45" s="70">
        <v>1030</v>
      </c>
      <c r="BE45" s="37">
        <v>1030</v>
      </c>
    </row>
    <row r="46" spans="1:57">
      <c r="A46" s="71" t="s">
        <v>7</v>
      </c>
      <c r="B46" s="24"/>
      <c r="C46" s="72"/>
      <c r="D46" s="72">
        <f>D45/C45-1</f>
        <v>1.2371134020618513E-2</v>
      </c>
      <c r="E46" s="72">
        <f>E45/D45-1</f>
        <v>1.2219959266802416E-2</v>
      </c>
      <c r="F46" s="72">
        <f>F45/E45-1</f>
        <v>1.1066398390342069E-2</v>
      </c>
      <c r="G46" s="24"/>
      <c r="H46" s="72">
        <f>H45/F45-1</f>
        <v>5.9701492537314049E-3</v>
      </c>
      <c r="I46" s="72">
        <f>I45/H45-1</f>
        <v>4.9455984174084922E-3</v>
      </c>
      <c r="J46" s="72">
        <f>J45/I45-1</f>
        <v>9.8425196850393526E-3</v>
      </c>
      <c r="K46" s="72">
        <f>K45/J45-1</f>
        <v>8.7719298245614308E-3</v>
      </c>
      <c r="L46" s="24"/>
      <c r="M46" s="72">
        <f>M45/K45-1</f>
        <v>9.6618357487923134E-3</v>
      </c>
      <c r="N46" s="72">
        <f>N45/M45-1</f>
        <v>5.7416267942582699E-3</v>
      </c>
      <c r="O46" s="72">
        <f>O45/N45-1</f>
        <v>4.7573739295909689E-3</v>
      </c>
      <c r="P46" s="72">
        <f>P45/O45-1</f>
        <v>9.4696969696970168E-3</v>
      </c>
      <c r="Q46" s="24"/>
      <c r="R46" s="72">
        <v>1.2195121951219523E-2</v>
      </c>
      <c r="S46" s="72">
        <v>8.3410565338275511E-3</v>
      </c>
      <c r="T46" s="72">
        <v>1.1029411764705843E-2</v>
      </c>
      <c r="U46" s="72">
        <v>1.0000000000000009E-2</v>
      </c>
      <c r="V46" s="24"/>
      <c r="W46" s="72">
        <v>9.0009000900090896E-3</v>
      </c>
      <c r="X46" s="72">
        <v>1.338090990187335E-2</v>
      </c>
      <c r="Y46" s="72">
        <v>1.4964788732394263E-2</v>
      </c>
      <c r="Z46" s="72">
        <v>1.3876843018213458E-2</v>
      </c>
      <c r="AA46" s="24"/>
      <c r="AB46" s="72">
        <v>1.3686911890504749E-2</v>
      </c>
      <c r="AC46" s="72">
        <v>1.4345991561181437E-2</v>
      </c>
      <c r="AD46" s="72">
        <v>2.3294509151414289E-2</v>
      </c>
      <c r="AE46" s="72">
        <v>2.6829268292682951E-2</v>
      </c>
      <c r="AF46" s="24"/>
      <c r="AG46" s="72">
        <v>2.0585906571654711E-2</v>
      </c>
      <c r="AH46" s="72">
        <v>1.4740108611326574E-2</v>
      </c>
      <c r="AI46" s="72">
        <v>2.0642201834862428E-2</v>
      </c>
      <c r="AJ46" s="72">
        <v>2.1722846441947663E-2</v>
      </c>
      <c r="AK46" s="24"/>
      <c r="AL46" s="72">
        <v>1.0997067448680342E-2</v>
      </c>
      <c r="AM46" s="72">
        <v>-2.8281363306744023E-2</v>
      </c>
      <c r="AN46" s="72">
        <v>-5.149253731343284E-2</v>
      </c>
      <c r="AO46" s="72">
        <v>-2.8324154209284025E-2</v>
      </c>
      <c r="AP46" s="24"/>
      <c r="AQ46" s="72">
        <v>-1.7813765182186247E-2</v>
      </c>
      <c r="AR46" s="72">
        <v>-1.2366034624896938E-2</v>
      </c>
      <c r="AS46" s="72">
        <v>-5.008347245408995E-3</v>
      </c>
      <c r="AT46" s="72">
        <v>-9.2281879194631156E-3</v>
      </c>
      <c r="AU46" s="24"/>
      <c r="AV46" s="72">
        <v>-1.2701100762066098E-2</v>
      </c>
      <c r="AW46" s="72">
        <v>-1.4579759862778707E-2</v>
      </c>
      <c r="AX46" s="72">
        <v>-2.1758050478677071E-2</v>
      </c>
      <c r="AY46" s="72">
        <v>-1.8683274021352281E-2</v>
      </c>
      <c r="AZ46" s="24"/>
      <c r="BA46" s="72">
        <v>-2.1758839528558505E-2</v>
      </c>
      <c r="BB46" s="72">
        <v>-1.575532900834109E-2</v>
      </c>
      <c r="BC46" s="72">
        <v>-1.5065913370998163E-2</v>
      </c>
      <c r="BD46" s="72">
        <v>-1.5296367112810683E-2</v>
      </c>
      <c r="BE46" s="24"/>
    </row>
    <row r="47" spans="1:57">
      <c r="A47" s="71" t="s">
        <v>8</v>
      </c>
      <c r="B47" s="24"/>
      <c r="C47" s="73"/>
      <c r="D47" s="73"/>
      <c r="E47" s="73"/>
      <c r="F47" s="73"/>
      <c r="G47" s="24">
        <f t="shared" ref="G47" si="11">G45/B45-1</f>
        <v>4.3613707165109039E-2</v>
      </c>
      <c r="H47" s="73">
        <f t="shared" ref="H47" si="12">H45/C45-1</f>
        <v>4.2268041237113474E-2</v>
      </c>
      <c r="I47" s="73">
        <f t="shared" ref="I47" si="13">I45/D45-1</f>
        <v>3.4623217922606919E-2</v>
      </c>
      <c r="J47" s="73">
        <f t="shared" ref="J47" si="14">J45/E45-1</f>
        <v>3.2193158953722323E-2</v>
      </c>
      <c r="K47" s="72">
        <f t="shared" ref="K47:L47" si="15">K45/F45-1</f>
        <v>2.9850746268656803E-2</v>
      </c>
      <c r="L47" s="24">
        <f t="shared" si="15"/>
        <v>2.9850746268656803E-2</v>
      </c>
      <c r="M47" s="73">
        <f t="shared" ref="M47" si="16">M45/H45-1</f>
        <v>3.3630069238377747E-2</v>
      </c>
      <c r="N47" s="73">
        <f t="shared" ref="N47" si="17">N45/I45-1</f>
        <v>3.4448818897637734E-2</v>
      </c>
      <c r="O47" s="73">
        <f t="shared" ref="O47" si="18">O45/J45-1</f>
        <v>2.9239766081871288E-2</v>
      </c>
      <c r="P47" s="72">
        <f t="shared" ref="P47" si="19">P45/K45-1</f>
        <v>2.9951690821256038E-2</v>
      </c>
      <c r="Q47" s="24">
        <v>2.9951690821256038E-2</v>
      </c>
      <c r="R47" s="73">
        <v>3.2535885167464196E-2</v>
      </c>
      <c r="S47" s="73">
        <v>3.520456707897246E-2</v>
      </c>
      <c r="T47" s="73">
        <v>4.1666666666666741E-2</v>
      </c>
      <c r="U47" s="72">
        <v>4.2213883677298281E-2</v>
      </c>
      <c r="V47" s="24">
        <v>4.2213883677298281E-2</v>
      </c>
      <c r="W47" s="73">
        <v>3.8924930491195608E-2</v>
      </c>
      <c r="X47" s="73">
        <v>4.4117647058823595E-2</v>
      </c>
      <c r="Y47" s="73">
        <v>4.8181818181818103E-2</v>
      </c>
      <c r="Z47" s="72">
        <v>5.2205220522052231E-2</v>
      </c>
      <c r="AA47" s="24">
        <v>5.2205220522052231E-2</v>
      </c>
      <c r="AB47" s="73">
        <v>5.7091882247992887E-2</v>
      </c>
      <c r="AC47" s="73">
        <v>5.8098591549295753E-2</v>
      </c>
      <c r="AD47" s="73">
        <v>6.6782307025151866E-2</v>
      </c>
      <c r="AE47" s="72">
        <v>8.0410607356715236E-2</v>
      </c>
      <c r="AF47" s="24">
        <v>8.0410607356715236E-2</v>
      </c>
      <c r="AG47" s="73">
        <v>8.7763713080168726E-2</v>
      </c>
      <c r="AH47" s="73">
        <v>8.8186356073211236E-2</v>
      </c>
      <c r="AI47" s="73">
        <v>8.5365853658536661E-2</v>
      </c>
      <c r="AJ47" s="72">
        <v>7.9968329374505043E-2</v>
      </c>
      <c r="AK47" s="24">
        <v>7.9968329374505043E-2</v>
      </c>
      <c r="AL47" s="73">
        <v>6.9821567106283844E-2</v>
      </c>
      <c r="AM47" s="73">
        <v>2.4464831804281273E-2</v>
      </c>
      <c r="AN47" s="73">
        <v>-4.7940074906367092E-2</v>
      </c>
      <c r="AO47" s="72">
        <v>-9.4574780058651053E-2</v>
      </c>
      <c r="AP47" s="24">
        <v>-9.4574780058651053E-2</v>
      </c>
      <c r="AQ47" s="73">
        <v>-0.12037708484408993</v>
      </c>
      <c r="AR47" s="73">
        <v>-0.10597014925373138</v>
      </c>
      <c r="AS47" s="73">
        <v>-6.2155782848151042E-2</v>
      </c>
      <c r="AT47" s="72">
        <v>-4.3724696356275294E-2</v>
      </c>
      <c r="AU47" s="24">
        <v>-4.3724696356275294E-2</v>
      </c>
      <c r="AV47" s="73">
        <v>-3.8746908491343768E-2</v>
      </c>
      <c r="AW47" s="73">
        <v>-4.090150250417357E-2</v>
      </c>
      <c r="AX47" s="73">
        <v>-5.7046979865771785E-2</v>
      </c>
      <c r="AY47" s="72">
        <v>-6.6045723962743441E-2</v>
      </c>
      <c r="AZ47" s="24">
        <v>-6.6045723962743441E-2</v>
      </c>
      <c r="BA47" s="73">
        <v>-7.461406518010294E-2</v>
      </c>
      <c r="BB47" s="73">
        <v>-7.571801566579639E-2</v>
      </c>
      <c r="BC47" s="73">
        <v>-6.939501779359436E-2</v>
      </c>
      <c r="BD47" s="72">
        <v>-6.6183136899365391E-2</v>
      </c>
      <c r="BE47" s="24">
        <v>-6.6183136899365391E-2</v>
      </c>
    </row>
    <row r="48" spans="1:57">
      <c r="A48" s="71" t="s">
        <v>213</v>
      </c>
      <c r="B48" s="24"/>
      <c r="C48" s="73"/>
      <c r="D48" s="73"/>
      <c r="E48" s="73"/>
      <c r="F48" s="73"/>
      <c r="G48" s="200">
        <f>G45-B45</f>
        <v>42</v>
      </c>
      <c r="H48" s="73"/>
      <c r="I48" s="73"/>
      <c r="J48" s="73"/>
      <c r="K48" s="72"/>
      <c r="L48" s="200">
        <f>L45-G45</f>
        <v>30</v>
      </c>
      <c r="M48" s="73"/>
      <c r="N48" s="73"/>
      <c r="O48" s="73"/>
      <c r="P48" s="72"/>
      <c r="Q48" s="200">
        <v>31</v>
      </c>
      <c r="R48" s="73"/>
      <c r="S48" s="73"/>
      <c r="T48" s="73"/>
      <c r="U48" s="72"/>
      <c r="V48" s="200">
        <v>45</v>
      </c>
      <c r="W48" s="73"/>
      <c r="X48" s="73"/>
      <c r="Y48" s="73"/>
      <c r="Z48" s="72"/>
      <c r="AA48" s="200">
        <v>58</v>
      </c>
      <c r="AB48" s="73"/>
      <c r="AC48" s="73"/>
      <c r="AD48" s="73"/>
      <c r="AE48" s="72"/>
      <c r="AF48" s="200">
        <v>94</v>
      </c>
      <c r="AG48" s="73"/>
      <c r="AH48" s="73"/>
      <c r="AI48" s="73"/>
      <c r="AJ48" s="72"/>
      <c r="AK48" s="200">
        <v>101</v>
      </c>
      <c r="AL48" s="73"/>
      <c r="AM48" s="197">
        <v>-39</v>
      </c>
      <c r="AN48" s="197">
        <v>-69</v>
      </c>
      <c r="AO48" s="197">
        <v>-36</v>
      </c>
      <c r="AP48" s="200">
        <v>-129</v>
      </c>
      <c r="AQ48" s="199">
        <v>-22</v>
      </c>
      <c r="AR48" s="199">
        <v>-15</v>
      </c>
      <c r="AS48" s="199">
        <v>-6</v>
      </c>
      <c r="AT48" s="199">
        <v>-11</v>
      </c>
      <c r="AU48" s="200">
        <v>-54</v>
      </c>
      <c r="AV48" s="199">
        <v>-15</v>
      </c>
      <c r="AW48" s="199">
        <v>-17</v>
      </c>
      <c r="AX48" s="199">
        <v>-25</v>
      </c>
      <c r="AY48" s="199">
        <v>-21</v>
      </c>
      <c r="AZ48" s="200">
        <v>-78</v>
      </c>
      <c r="BA48" s="199">
        <v>-24</v>
      </c>
      <c r="BB48" s="199">
        <v>-17</v>
      </c>
      <c r="BC48" s="199">
        <v>-16</v>
      </c>
      <c r="BD48" s="199">
        <v>-16</v>
      </c>
      <c r="BE48" s="200">
        <v>-73</v>
      </c>
    </row>
    <row r="49" spans="1:202" ht="8.25" customHeight="1">
      <c r="A49" s="71"/>
      <c r="B49" s="24"/>
      <c r="C49" s="73"/>
      <c r="D49" s="73"/>
      <c r="E49" s="73"/>
      <c r="F49" s="73"/>
      <c r="G49" s="24"/>
      <c r="H49" s="73"/>
      <c r="I49" s="73"/>
      <c r="J49" s="73"/>
      <c r="K49" s="72"/>
      <c r="L49" s="24"/>
      <c r="M49" s="73"/>
      <c r="N49" s="73"/>
      <c r="O49" s="73"/>
      <c r="P49" s="72"/>
      <c r="Q49" s="24"/>
      <c r="R49" s="73"/>
      <c r="S49" s="73"/>
      <c r="T49" s="73"/>
      <c r="U49" s="72"/>
      <c r="V49" s="24"/>
      <c r="W49" s="73"/>
      <c r="X49" s="73"/>
      <c r="Y49" s="73"/>
      <c r="Z49" s="72"/>
      <c r="AA49" s="24"/>
      <c r="AB49" s="73"/>
      <c r="AC49" s="73"/>
      <c r="AD49" s="73"/>
      <c r="AE49" s="72"/>
      <c r="AF49" s="24"/>
      <c r="AG49" s="73"/>
      <c r="AH49" s="73"/>
      <c r="AI49" s="73"/>
      <c r="AJ49" s="72"/>
      <c r="AK49" s="24"/>
      <c r="AL49" s="73"/>
      <c r="AM49" s="73"/>
      <c r="AN49" s="73"/>
      <c r="AO49" s="72"/>
      <c r="AP49" s="24"/>
      <c r="AQ49" s="73"/>
      <c r="AR49" s="73"/>
      <c r="AS49" s="73"/>
      <c r="AT49" s="72"/>
      <c r="AU49" s="24"/>
      <c r="AV49" s="73"/>
      <c r="AW49" s="73"/>
      <c r="AX49" s="73"/>
      <c r="AY49" s="72"/>
      <c r="AZ49" s="24"/>
      <c r="BA49" s="73"/>
      <c r="BB49" s="73"/>
      <c r="BC49" s="73"/>
      <c r="BD49" s="72"/>
      <c r="BE49" s="24"/>
    </row>
    <row r="50" spans="1:202" s="2" customFormat="1">
      <c r="A50" s="69" t="s">
        <v>152</v>
      </c>
      <c r="B50" s="63">
        <v>64</v>
      </c>
      <c r="C50" s="76">
        <v>68</v>
      </c>
      <c r="D50" s="76">
        <v>66</v>
      </c>
      <c r="E50" s="76">
        <v>67</v>
      </c>
      <c r="F50" s="76">
        <v>66</v>
      </c>
      <c r="G50" s="63">
        <v>67</v>
      </c>
      <c r="H50" s="76">
        <v>67</v>
      </c>
      <c r="I50" s="76">
        <v>67</v>
      </c>
      <c r="J50" s="76">
        <v>70</v>
      </c>
      <c r="K50" s="70">
        <v>70</v>
      </c>
      <c r="L50" s="28">
        <v>69</v>
      </c>
      <c r="M50" s="76">
        <v>73</v>
      </c>
      <c r="N50" s="76">
        <v>72</v>
      </c>
      <c r="O50" s="76">
        <v>76</v>
      </c>
      <c r="P50" s="70">
        <v>78</v>
      </c>
      <c r="Q50" s="28">
        <v>75</v>
      </c>
      <c r="R50" s="76">
        <v>79</v>
      </c>
      <c r="S50" s="76">
        <v>80</v>
      </c>
      <c r="T50" s="76">
        <v>81</v>
      </c>
      <c r="U50" s="70">
        <v>81</v>
      </c>
      <c r="V50" s="28">
        <v>80</v>
      </c>
      <c r="W50" s="76">
        <v>84</v>
      </c>
      <c r="X50" s="76">
        <v>80</v>
      </c>
      <c r="Y50" s="76">
        <v>80</v>
      </c>
      <c r="Z50" s="70">
        <v>80</v>
      </c>
      <c r="AA50" s="28">
        <v>81</v>
      </c>
      <c r="AB50" s="76">
        <v>83</v>
      </c>
      <c r="AC50" s="76">
        <v>85</v>
      </c>
      <c r="AD50" s="76">
        <v>86</v>
      </c>
      <c r="AE50" s="70">
        <v>82</v>
      </c>
      <c r="AF50" s="28">
        <v>84</v>
      </c>
      <c r="AG50" s="76">
        <v>82</v>
      </c>
      <c r="AH50" s="76">
        <v>84</v>
      </c>
      <c r="AI50" s="76">
        <v>85</v>
      </c>
      <c r="AJ50" s="70">
        <v>85</v>
      </c>
      <c r="AK50" s="28">
        <v>84</v>
      </c>
      <c r="AL50" s="76">
        <v>87</v>
      </c>
      <c r="AM50" s="76">
        <v>88</v>
      </c>
      <c r="AN50" s="76">
        <v>88</v>
      </c>
      <c r="AO50" s="70">
        <v>88</v>
      </c>
      <c r="AP50" s="28">
        <v>88</v>
      </c>
      <c r="AQ50" s="76">
        <v>90</v>
      </c>
      <c r="AR50" s="76">
        <v>90</v>
      </c>
      <c r="AS50" s="76">
        <v>88</v>
      </c>
      <c r="AT50" s="70">
        <v>90</v>
      </c>
      <c r="AU50" s="28">
        <v>89</v>
      </c>
      <c r="AV50" s="76">
        <v>90</v>
      </c>
      <c r="AW50" s="76">
        <v>90</v>
      </c>
      <c r="AX50" s="76">
        <v>90</v>
      </c>
      <c r="AY50" s="70">
        <v>92</v>
      </c>
      <c r="AZ50" s="28">
        <v>90</v>
      </c>
      <c r="BA50" s="76">
        <v>92</v>
      </c>
      <c r="BB50" s="76">
        <v>93</v>
      </c>
      <c r="BC50" s="76">
        <v>93</v>
      </c>
      <c r="BD50" s="70">
        <v>96</v>
      </c>
      <c r="BE50" s="28">
        <v>93</v>
      </c>
      <c r="BF50" s="3"/>
      <c r="BG50" s="3"/>
      <c r="BH50" s="3"/>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36"/>
      <c r="GB50" s="36"/>
      <c r="GC50" s="36"/>
      <c r="GD50" s="36"/>
      <c r="GE50" s="36"/>
      <c r="GF50" s="36"/>
      <c r="GG50" s="36"/>
      <c r="GH50" s="36"/>
      <c r="GI50" s="36"/>
      <c r="GJ50" s="36"/>
      <c r="GK50" s="36"/>
      <c r="GL50" s="36"/>
      <c r="GM50" s="36"/>
      <c r="GN50" s="36"/>
      <c r="GO50" s="36"/>
      <c r="GP50" s="36"/>
      <c r="GQ50" s="36"/>
      <c r="GR50" s="36"/>
      <c r="GS50" s="36"/>
      <c r="GT50" s="36"/>
    </row>
    <row r="51" spans="1:202">
      <c r="A51" s="71" t="s">
        <v>7</v>
      </c>
      <c r="B51" s="24"/>
      <c r="C51" s="72"/>
      <c r="D51" s="72">
        <f>D50/C50-1</f>
        <v>-2.9411764705882359E-2</v>
      </c>
      <c r="E51" s="72">
        <f>E50/D50-1</f>
        <v>1.5151515151515138E-2</v>
      </c>
      <c r="F51" s="72">
        <f>F50/E50-1</f>
        <v>-1.4925373134328401E-2</v>
      </c>
      <c r="G51" s="24"/>
      <c r="H51" s="72">
        <f>H50/F50-1</f>
        <v>1.5151515151515138E-2</v>
      </c>
      <c r="I51" s="72">
        <f>I50/H50-1</f>
        <v>0</v>
      </c>
      <c r="J51" s="72">
        <f>J50/I50-1</f>
        <v>4.4776119402984982E-2</v>
      </c>
      <c r="K51" s="72">
        <f>K50/J50-1</f>
        <v>0</v>
      </c>
      <c r="L51" s="27"/>
      <c r="M51" s="72">
        <f>M50/K50-1</f>
        <v>4.2857142857142927E-2</v>
      </c>
      <c r="N51" s="72">
        <f>N50/M50-1</f>
        <v>-1.3698630136986356E-2</v>
      </c>
      <c r="O51" s="72">
        <f>O50/N50-1</f>
        <v>5.555555555555558E-2</v>
      </c>
      <c r="P51" s="72">
        <f>P50/O50-1</f>
        <v>2.6315789473684292E-2</v>
      </c>
      <c r="Q51" s="27"/>
      <c r="R51" s="72">
        <v>1.2820512820512775E-2</v>
      </c>
      <c r="S51" s="72">
        <v>1.2658227848101333E-2</v>
      </c>
      <c r="T51" s="72">
        <v>1.2499999999999956E-2</v>
      </c>
      <c r="U51" s="72">
        <v>0</v>
      </c>
      <c r="V51" s="27"/>
      <c r="W51" s="72">
        <v>3.7037037037036979E-2</v>
      </c>
      <c r="X51" s="72">
        <v>-4.7619047619047672E-2</v>
      </c>
      <c r="Y51" s="72">
        <v>0</v>
      </c>
      <c r="Z51" s="72">
        <v>0</v>
      </c>
      <c r="AA51" s="27"/>
      <c r="AB51" s="72">
        <v>3.7500000000000089E-2</v>
      </c>
      <c r="AC51" s="72">
        <v>2.4096385542168752E-2</v>
      </c>
      <c r="AD51" s="72">
        <v>1.1764705882352899E-2</v>
      </c>
      <c r="AE51" s="72">
        <v>-4.6511627906976716E-2</v>
      </c>
      <c r="AF51" s="27"/>
      <c r="AG51" s="72">
        <v>0</v>
      </c>
      <c r="AH51" s="72">
        <v>2.4390243902439046E-2</v>
      </c>
      <c r="AI51" s="72">
        <v>1.1904761904761862E-2</v>
      </c>
      <c r="AJ51" s="72">
        <v>0</v>
      </c>
      <c r="AK51" s="27"/>
      <c r="AL51" s="72">
        <v>2.3529411764705799E-2</v>
      </c>
      <c r="AM51" s="72">
        <v>1.1494252873563315E-2</v>
      </c>
      <c r="AN51" s="72">
        <v>0</v>
      </c>
      <c r="AO51" s="72">
        <v>0</v>
      </c>
      <c r="AP51" s="27"/>
      <c r="AQ51" s="72">
        <v>2.2727272727272707E-2</v>
      </c>
      <c r="AR51" s="72">
        <v>0</v>
      </c>
      <c r="AS51" s="72">
        <v>-2.2222222222222254E-2</v>
      </c>
      <c r="AT51" s="72">
        <v>2.2727272727272707E-2</v>
      </c>
      <c r="AU51" s="27"/>
      <c r="AV51" s="72">
        <v>0</v>
      </c>
      <c r="AW51" s="72">
        <v>0</v>
      </c>
      <c r="AX51" s="72">
        <v>0</v>
      </c>
      <c r="AY51" s="72">
        <v>2.2222222222222143E-2</v>
      </c>
      <c r="AZ51" s="27"/>
      <c r="BA51" s="72">
        <v>0</v>
      </c>
      <c r="BB51" s="72">
        <v>1.0869565217391353E-2</v>
      </c>
      <c r="BC51" s="72">
        <v>0</v>
      </c>
      <c r="BD51" s="72">
        <v>3.2258064516129004E-2</v>
      </c>
      <c r="BE51" s="27"/>
    </row>
    <row r="52" spans="1:202">
      <c r="A52" s="71" t="s">
        <v>8</v>
      </c>
      <c r="B52" s="24"/>
      <c r="C52" s="73"/>
      <c r="D52" s="73"/>
      <c r="E52" s="73"/>
      <c r="F52" s="73"/>
      <c r="G52" s="24">
        <f t="shared" ref="G52:N52" si="20">G50/B50-1</f>
        <v>4.6875E-2</v>
      </c>
      <c r="H52" s="73">
        <f t="shared" si="20"/>
        <v>-1.4705882352941124E-2</v>
      </c>
      <c r="I52" s="73">
        <f t="shared" si="20"/>
        <v>1.5151515151515138E-2</v>
      </c>
      <c r="J52" s="73">
        <f t="shared" si="20"/>
        <v>4.4776119402984982E-2</v>
      </c>
      <c r="K52" s="72">
        <f t="shared" si="20"/>
        <v>6.0606060606060552E-2</v>
      </c>
      <c r="L52" s="24">
        <f t="shared" si="20"/>
        <v>2.9850746268656803E-2</v>
      </c>
      <c r="M52" s="72">
        <f t="shared" si="20"/>
        <v>8.9552238805970186E-2</v>
      </c>
      <c r="N52" s="73">
        <f t="shared" si="20"/>
        <v>7.4626865671641784E-2</v>
      </c>
      <c r="O52" s="73">
        <f t="shared" ref="O52:P52" si="21">O50/J50-1</f>
        <v>8.5714285714285632E-2</v>
      </c>
      <c r="P52" s="72">
        <f t="shared" si="21"/>
        <v>0.11428571428571432</v>
      </c>
      <c r="Q52" s="24">
        <v>8.6956521739130377E-2</v>
      </c>
      <c r="R52" s="72">
        <v>8.2191780821917915E-2</v>
      </c>
      <c r="S52" s="73">
        <v>0.11111111111111116</v>
      </c>
      <c r="T52" s="73">
        <v>6.578947368421062E-2</v>
      </c>
      <c r="U52" s="72">
        <v>3.8461538461538547E-2</v>
      </c>
      <c r="V52" s="24">
        <v>6.6666666666666652E-2</v>
      </c>
      <c r="W52" s="72">
        <v>6.3291139240506222E-2</v>
      </c>
      <c r="X52" s="73">
        <v>0</v>
      </c>
      <c r="Y52" s="73">
        <v>-1.2345679012345734E-2</v>
      </c>
      <c r="Z52" s="72">
        <v>-1.2345679012345734E-2</v>
      </c>
      <c r="AA52" s="24">
        <v>1.2499999999999956E-2</v>
      </c>
      <c r="AB52" s="72">
        <v>-1.1904761904761862E-2</v>
      </c>
      <c r="AC52" s="73">
        <v>6.25E-2</v>
      </c>
      <c r="AD52" s="73">
        <v>7.4999999999999956E-2</v>
      </c>
      <c r="AE52" s="72">
        <v>2.4999999999999911E-2</v>
      </c>
      <c r="AF52" s="24">
        <v>3.7037037037036979E-2</v>
      </c>
      <c r="AG52" s="72">
        <v>-1.2048192771084376E-2</v>
      </c>
      <c r="AH52" s="73">
        <v>-1.1764705882352899E-2</v>
      </c>
      <c r="AI52" s="73">
        <v>-1.1627906976744207E-2</v>
      </c>
      <c r="AJ52" s="72">
        <v>3.6585365853658569E-2</v>
      </c>
      <c r="AK52" s="24">
        <v>0</v>
      </c>
      <c r="AL52" s="72">
        <v>6.0975609756097615E-2</v>
      </c>
      <c r="AM52" s="73">
        <v>4.7619047619047672E-2</v>
      </c>
      <c r="AN52" s="73">
        <v>3.529411764705892E-2</v>
      </c>
      <c r="AO52" s="72">
        <v>3.529411764705892E-2</v>
      </c>
      <c r="AP52" s="24">
        <v>4.7619047619047672E-2</v>
      </c>
      <c r="AQ52" s="72">
        <v>3.4482758620689724E-2</v>
      </c>
      <c r="AR52" s="73">
        <v>2.2727272727272707E-2</v>
      </c>
      <c r="AS52" s="73">
        <v>0</v>
      </c>
      <c r="AT52" s="72">
        <v>2.2727272727272707E-2</v>
      </c>
      <c r="AU52" s="24">
        <v>1.1363636363636465E-2</v>
      </c>
      <c r="AV52" s="72">
        <v>0</v>
      </c>
      <c r="AW52" s="73">
        <v>0</v>
      </c>
      <c r="AX52" s="73">
        <v>2.2727272727272707E-2</v>
      </c>
      <c r="AY52" s="72">
        <v>2.2222222222222143E-2</v>
      </c>
      <c r="AZ52" s="24">
        <v>1.1235955056179803E-2</v>
      </c>
      <c r="BA52" s="72">
        <v>2.2222222222222143E-2</v>
      </c>
      <c r="BB52" s="73">
        <v>3.3333333333333437E-2</v>
      </c>
      <c r="BC52" s="73">
        <v>3.3333333333333437E-2</v>
      </c>
      <c r="BD52" s="72">
        <v>4.3478260869565188E-2</v>
      </c>
      <c r="BE52" s="24">
        <v>3.3333333333333437E-2</v>
      </c>
    </row>
    <row r="53" spans="1:202" ht="26.4">
      <c r="A53" s="103" t="s">
        <v>70</v>
      </c>
      <c r="B53" s="100">
        <v>1.7</v>
      </c>
      <c r="C53" s="81">
        <v>1.9</v>
      </c>
      <c r="D53" s="81">
        <v>2</v>
      </c>
      <c r="E53" s="81">
        <v>2.1</v>
      </c>
      <c r="F53" s="81">
        <v>2.2000000000000002</v>
      </c>
      <c r="G53" s="100">
        <v>2.2000000000000002</v>
      </c>
      <c r="H53" s="81">
        <v>2.2999999999999998</v>
      </c>
      <c r="I53" s="81">
        <v>2.4</v>
      </c>
      <c r="J53" s="81">
        <v>2.5</v>
      </c>
      <c r="K53" s="81">
        <v>2.7</v>
      </c>
      <c r="L53" s="101">
        <v>2.7</v>
      </c>
      <c r="M53" s="81">
        <v>3</v>
      </c>
      <c r="N53" s="81">
        <v>3.4</v>
      </c>
      <c r="O53" s="81">
        <v>3.8</v>
      </c>
      <c r="P53" s="81">
        <v>4.3</v>
      </c>
      <c r="Q53" s="101">
        <v>4.3</v>
      </c>
      <c r="R53" s="81">
        <v>4.8</v>
      </c>
      <c r="S53" s="81">
        <v>5.3</v>
      </c>
      <c r="T53" s="81">
        <v>6</v>
      </c>
      <c r="U53" s="81">
        <v>6.7</v>
      </c>
      <c r="V53" s="101">
        <v>6.7</v>
      </c>
      <c r="W53" s="81">
        <v>7.5</v>
      </c>
      <c r="X53" s="81">
        <v>8.3000000000000007</v>
      </c>
      <c r="Y53" s="81">
        <v>9</v>
      </c>
      <c r="Z53" s="81">
        <v>9.6</v>
      </c>
      <c r="AA53" s="101">
        <v>9.6</v>
      </c>
      <c r="AB53" s="81">
        <v>10.4</v>
      </c>
      <c r="AC53" s="81">
        <v>15.2</v>
      </c>
      <c r="AD53" s="81">
        <v>17.3</v>
      </c>
      <c r="AE53" s="81">
        <v>18.100000000000001</v>
      </c>
      <c r="AF53" s="101">
        <v>18.100000000000001</v>
      </c>
      <c r="AG53" s="81">
        <v>20</v>
      </c>
      <c r="AH53" s="148">
        <v>21.9</v>
      </c>
      <c r="AI53" s="148">
        <v>24</v>
      </c>
      <c r="AJ53" s="81">
        <v>32.5</v>
      </c>
      <c r="AK53" s="101">
        <v>32.5</v>
      </c>
      <c r="AL53" s="81">
        <v>33.200000000000003</v>
      </c>
      <c r="AM53" s="148">
        <v>34.9</v>
      </c>
      <c r="AN53" s="148">
        <v>36.700000000000003</v>
      </c>
      <c r="AO53" s="81">
        <v>37.799999999999997</v>
      </c>
      <c r="AP53" s="101">
        <v>37.799999999999997</v>
      </c>
      <c r="AQ53" s="81">
        <v>38.9</v>
      </c>
      <c r="AR53" s="148">
        <v>40.200000000000003</v>
      </c>
      <c r="AS53" s="148">
        <v>41.8</v>
      </c>
      <c r="AT53" s="81">
        <v>43.4</v>
      </c>
      <c r="AU53" s="101">
        <v>43.4</v>
      </c>
      <c r="AV53" s="81">
        <v>45.1</v>
      </c>
      <c r="AW53" s="81">
        <v>47.2</v>
      </c>
      <c r="AX53" s="81">
        <v>49.5</v>
      </c>
      <c r="AY53" s="81">
        <v>51.5</v>
      </c>
      <c r="AZ53" s="101">
        <v>51.5</v>
      </c>
      <c r="BA53" s="81">
        <v>53.5</v>
      </c>
      <c r="BB53" s="81">
        <v>55.4</v>
      </c>
      <c r="BC53" s="81">
        <v>57.41</v>
      </c>
      <c r="BD53" s="81">
        <v>59.1</v>
      </c>
      <c r="BE53" s="101">
        <v>59.1</v>
      </c>
    </row>
    <row r="54" spans="1:202">
      <c r="A54" s="71" t="s">
        <v>7</v>
      </c>
      <c r="B54" s="24"/>
      <c r="C54" s="72"/>
      <c r="D54" s="72">
        <f>D53/C53-1</f>
        <v>5.2631578947368363E-2</v>
      </c>
      <c r="E54" s="72">
        <f>E53/D53-1</f>
        <v>5.0000000000000044E-2</v>
      </c>
      <c r="F54" s="72">
        <f>F53/E53-1</f>
        <v>4.7619047619047672E-2</v>
      </c>
      <c r="G54" s="24"/>
      <c r="H54" s="72">
        <f>H53/F53-1</f>
        <v>4.5454545454545192E-2</v>
      </c>
      <c r="I54" s="72">
        <f>I53/H53-1</f>
        <v>4.3478260869565188E-2</v>
      </c>
      <c r="J54" s="72">
        <f>J53/I53-1</f>
        <v>4.1666666666666741E-2</v>
      </c>
      <c r="K54" s="72">
        <f>K53/J53-1</f>
        <v>8.0000000000000071E-2</v>
      </c>
      <c r="L54" s="27"/>
      <c r="M54" s="72">
        <f>M53/K53-1</f>
        <v>0.11111111111111094</v>
      </c>
      <c r="N54" s="72">
        <f>N53/M53-1</f>
        <v>0.1333333333333333</v>
      </c>
      <c r="O54" s="72">
        <f>O53/N53-1</f>
        <v>0.11764705882352944</v>
      </c>
      <c r="P54" s="72">
        <f>P53/O53-1</f>
        <v>0.13157894736842102</v>
      </c>
      <c r="Q54" s="27"/>
      <c r="R54" s="72">
        <v>0.11627906976744184</v>
      </c>
      <c r="S54" s="72">
        <v>0.10416666666666674</v>
      </c>
      <c r="T54" s="72">
        <v>0.13207547169811318</v>
      </c>
      <c r="U54" s="72">
        <v>0.1166666666666667</v>
      </c>
      <c r="V54" s="27"/>
      <c r="W54" s="72">
        <v>0.11940298507462677</v>
      </c>
      <c r="X54" s="72">
        <v>0.10666666666666669</v>
      </c>
      <c r="Y54" s="72">
        <v>8.43373493975903E-2</v>
      </c>
      <c r="Z54" s="72">
        <v>6.6666666666666652E-2</v>
      </c>
      <c r="AA54" s="27"/>
      <c r="AB54" s="72">
        <v>8.3333333333333481E-2</v>
      </c>
      <c r="AC54" s="72">
        <v>0.46153846153846145</v>
      </c>
      <c r="AD54" s="72">
        <v>0.13815789473684226</v>
      </c>
      <c r="AE54" s="72">
        <v>4.6242774566473965E-2</v>
      </c>
      <c r="AF54" s="27"/>
      <c r="AG54" s="72">
        <v>0.10497237569060758</v>
      </c>
      <c r="AH54" s="72">
        <v>9.4999999999999973E-2</v>
      </c>
      <c r="AI54" s="72">
        <v>9.5890410958904271E-2</v>
      </c>
      <c r="AJ54" s="72">
        <v>0.35416666666666674</v>
      </c>
      <c r="AK54" s="27"/>
      <c r="AL54" s="72">
        <v>2.1538461538461728E-2</v>
      </c>
      <c r="AM54" s="72">
        <v>5.1204819277108404E-2</v>
      </c>
      <c r="AN54" s="72">
        <v>5.157593123209181E-2</v>
      </c>
      <c r="AO54" s="72">
        <v>2.9972752043596618E-2</v>
      </c>
      <c r="AP54" s="27"/>
      <c r="AQ54" s="72">
        <v>2.9100529100529071E-2</v>
      </c>
      <c r="AR54" s="72">
        <v>3.3419023136247006E-2</v>
      </c>
      <c r="AS54" s="72">
        <v>3.9800995024875441E-2</v>
      </c>
      <c r="AT54" s="72">
        <v>3.8277511961722466E-2</v>
      </c>
      <c r="AU54" s="27"/>
      <c r="AV54" s="72">
        <v>3.9170506912442393E-2</v>
      </c>
      <c r="AW54" s="72">
        <v>4.6563192904656381E-2</v>
      </c>
      <c r="AX54" s="72">
        <v>4.8728813559322015E-2</v>
      </c>
      <c r="AY54" s="72">
        <v>4.0404040404040442E-2</v>
      </c>
      <c r="AZ54" s="27"/>
      <c r="BA54" s="72">
        <v>3.8834951456310662E-2</v>
      </c>
      <c r="BB54" s="72">
        <v>3.5514018691588767E-2</v>
      </c>
      <c r="BC54" s="72">
        <v>3.6281588447653501E-2</v>
      </c>
      <c r="BD54" s="72">
        <v>2.943738024734377E-2</v>
      </c>
      <c r="BE54" s="27"/>
    </row>
    <row r="55" spans="1:202">
      <c r="A55" s="71" t="s">
        <v>8</v>
      </c>
      <c r="B55" s="24"/>
      <c r="C55" s="73"/>
      <c r="D55" s="73"/>
      <c r="E55" s="73"/>
      <c r="F55" s="73"/>
      <c r="G55" s="24">
        <f t="shared" ref="G55:P55" si="22">G53/B53-1</f>
        <v>0.29411764705882359</v>
      </c>
      <c r="H55" s="73">
        <f t="shared" si="22"/>
        <v>0.21052631578947367</v>
      </c>
      <c r="I55" s="73">
        <f t="shared" si="22"/>
        <v>0.19999999999999996</v>
      </c>
      <c r="J55" s="73">
        <f t="shared" si="22"/>
        <v>0.19047619047619047</v>
      </c>
      <c r="K55" s="72">
        <f t="shared" si="22"/>
        <v>0.22727272727272729</v>
      </c>
      <c r="L55" s="24">
        <f t="shared" si="22"/>
        <v>0.22727272727272729</v>
      </c>
      <c r="M55" s="73">
        <f t="shared" si="22"/>
        <v>0.30434782608695654</v>
      </c>
      <c r="N55" s="73">
        <f t="shared" si="22"/>
        <v>0.41666666666666674</v>
      </c>
      <c r="O55" s="73">
        <f t="shared" si="22"/>
        <v>0.52</v>
      </c>
      <c r="P55" s="72">
        <f t="shared" si="22"/>
        <v>0.59259259259259234</v>
      </c>
      <c r="Q55" s="24">
        <v>0.59259259259259234</v>
      </c>
      <c r="R55" s="73">
        <v>0.59999999999999987</v>
      </c>
      <c r="S55" s="73">
        <v>0.55882352941176472</v>
      </c>
      <c r="T55" s="73">
        <v>0.57894736842105265</v>
      </c>
      <c r="U55" s="72">
        <v>0.55813953488372103</v>
      </c>
      <c r="V55" s="24">
        <v>0.55813953488372103</v>
      </c>
      <c r="W55" s="73">
        <v>0.5625</v>
      </c>
      <c r="X55" s="73">
        <v>0.5660377358490567</v>
      </c>
      <c r="Y55" s="73">
        <v>0.5</v>
      </c>
      <c r="Z55" s="72">
        <v>0.43283582089552231</v>
      </c>
      <c r="AA55" s="24">
        <v>0.43283582089552231</v>
      </c>
      <c r="AB55" s="73">
        <v>0.38666666666666671</v>
      </c>
      <c r="AC55" s="73">
        <v>0.83132530120481896</v>
      </c>
      <c r="AD55" s="73">
        <v>0.92222222222222228</v>
      </c>
      <c r="AE55" s="72">
        <v>0.88541666666666696</v>
      </c>
      <c r="AF55" s="24">
        <v>0.88541666666666696</v>
      </c>
      <c r="AG55" s="73">
        <v>0.92307692307692291</v>
      </c>
      <c r="AH55" s="73">
        <v>0.4407894736842104</v>
      </c>
      <c r="AI55" s="73">
        <v>0.38728323699421963</v>
      </c>
      <c r="AJ55" s="72">
        <v>0.79558011049723754</v>
      </c>
      <c r="AK55" s="24">
        <v>0.79558011049723754</v>
      </c>
      <c r="AL55" s="73">
        <v>0.66000000000000014</v>
      </c>
      <c r="AM55" s="73">
        <v>0.59360730593607314</v>
      </c>
      <c r="AN55" s="73">
        <v>0.52916666666666679</v>
      </c>
      <c r="AO55" s="72">
        <v>0.1630769230769229</v>
      </c>
      <c r="AP55" s="24">
        <v>0.1630769230769229</v>
      </c>
      <c r="AQ55" s="73">
        <v>0.17168674698795172</v>
      </c>
      <c r="AR55" s="73">
        <v>0.15186246418338123</v>
      </c>
      <c r="AS55" s="73">
        <v>0.13896457765667569</v>
      </c>
      <c r="AT55" s="72">
        <v>0.14814814814814814</v>
      </c>
      <c r="AU55" s="24">
        <v>0.14814814814814814</v>
      </c>
      <c r="AV55" s="73">
        <v>0.15938303341902316</v>
      </c>
      <c r="AW55" s="73">
        <v>0.17412935323383083</v>
      </c>
      <c r="AX55" s="73">
        <v>0.1842105263157896</v>
      </c>
      <c r="AY55" s="72">
        <v>0.18663594470046085</v>
      </c>
      <c r="AZ55" s="24">
        <v>0.18663594470046085</v>
      </c>
      <c r="BA55" s="73">
        <v>0.1862527716186253</v>
      </c>
      <c r="BB55" s="73">
        <v>0.17372881355932202</v>
      </c>
      <c r="BC55" s="73">
        <v>0.15979797979797983</v>
      </c>
      <c r="BD55" s="72">
        <v>0.14757281553398061</v>
      </c>
      <c r="BE55" s="24">
        <v>0.14757281553398061</v>
      </c>
    </row>
    <row r="56" spans="1:202" ht="7.5" customHeight="1">
      <c r="A56" s="71"/>
      <c r="B56" s="24"/>
      <c r="C56" s="73"/>
      <c r="D56" s="73"/>
      <c r="E56" s="73"/>
      <c r="F56" s="73"/>
      <c r="G56" s="24"/>
      <c r="H56" s="73"/>
      <c r="I56" s="73"/>
      <c r="J56" s="73"/>
      <c r="K56" s="72"/>
      <c r="L56" s="24"/>
      <c r="M56" s="73"/>
      <c r="N56" s="73"/>
      <c r="O56" s="73"/>
      <c r="P56" s="72"/>
      <c r="Q56" s="24"/>
      <c r="R56" s="73"/>
      <c r="S56" s="73"/>
      <c r="T56" s="73"/>
      <c r="U56" s="72"/>
      <c r="V56" s="24"/>
      <c r="W56" s="73"/>
      <c r="X56" s="73"/>
      <c r="Y56" s="73"/>
      <c r="Z56" s="72"/>
      <c r="AA56" s="24"/>
      <c r="AB56" s="73"/>
      <c r="AC56" s="73"/>
      <c r="AD56" s="73"/>
      <c r="AE56" s="72"/>
      <c r="AF56" s="24"/>
      <c r="AG56" s="73"/>
      <c r="AH56" s="73"/>
      <c r="AI56" s="73"/>
      <c r="AJ56" s="72"/>
      <c r="AK56" s="24"/>
      <c r="AL56" s="73"/>
      <c r="AM56" s="73"/>
      <c r="AN56" s="73"/>
      <c r="AO56" s="72"/>
      <c r="AP56" s="24"/>
      <c r="AQ56" s="73"/>
      <c r="AR56" s="73"/>
      <c r="AS56" s="73"/>
      <c r="AT56" s="72"/>
      <c r="AU56" s="24"/>
      <c r="AV56" s="73"/>
      <c r="AW56" s="73"/>
      <c r="AX56" s="73"/>
      <c r="AY56" s="72"/>
      <c r="AZ56" s="24"/>
      <c r="BA56" s="73"/>
      <c r="BB56" s="73"/>
      <c r="BC56" s="73"/>
      <c r="BD56" s="72"/>
      <c r="BE56" s="24"/>
    </row>
    <row r="57" spans="1:202" s="2" customFormat="1">
      <c r="A57" s="69" t="s">
        <v>18</v>
      </c>
      <c r="B57" s="38">
        <v>7614</v>
      </c>
      <c r="C57" s="80" t="s">
        <v>52</v>
      </c>
      <c r="D57" s="80" t="s">
        <v>52</v>
      </c>
      <c r="E57" s="80" t="s">
        <v>52</v>
      </c>
      <c r="F57" s="80" t="s">
        <v>52</v>
      </c>
      <c r="G57" s="38">
        <v>7530</v>
      </c>
      <c r="H57" s="120" t="s">
        <v>44</v>
      </c>
      <c r="I57" s="120" t="s">
        <v>44</v>
      </c>
      <c r="J57" s="120" t="s">
        <v>44</v>
      </c>
      <c r="K57" s="120" t="s">
        <v>44</v>
      </c>
      <c r="L57" s="38">
        <v>7364</v>
      </c>
      <c r="M57" s="120" t="s">
        <v>44</v>
      </c>
      <c r="N57" s="120" t="s">
        <v>44</v>
      </c>
      <c r="O57" s="120" t="s">
        <v>44</v>
      </c>
      <c r="P57" s="120" t="s">
        <v>44</v>
      </c>
      <c r="Q57" s="38">
        <v>7216</v>
      </c>
      <c r="R57" s="120" t="s">
        <v>44</v>
      </c>
      <c r="S57" s="120" t="s">
        <v>44</v>
      </c>
      <c r="T57" s="120" t="s">
        <v>44</v>
      </c>
      <c r="U57" s="120" t="s">
        <v>44</v>
      </c>
      <c r="V57" s="37">
        <v>7076</v>
      </c>
      <c r="W57" s="120" t="s">
        <v>44</v>
      </c>
      <c r="X57" s="120" t="s">
        <v>44</v>
      </c>
      <c r="Y57" s="120" t="s">
        <v>44</v>
      </c>
      <c r="Z57" s="120" t="s">
        <v>44</v>
      </c>
      <c r="AA57" s="37">
        <v>7422</v>
      </c>
      <c r="AB57" s="138" t="s">
        <v>44</v>
      </c>
      <c r="AC57" s="138" t="s">
        <v>44</v>
      </c>
      <c r="AD57" s="70">
        <v>6576</v>
      </c>
      <c r="AE57" s="70">
        <v>6479</v>
      </c>
      <c r="AF57" s="37">
        <v>6479</v>
      </c>
      <c r="AG57" s="138" t="s">
        <v>44</v>
      </c>
      <c r="AH57" s="138" t="s">
        <v>44</v>
      </c>
      <c r="AI57" s="138" t="s">
        <v>44</v>
      </c>
      <c r="AJ57" s="70">
        <v>5964</v>
      </c>
      <c r="AK57" s="37">
        <v>5964</v>
      </c>
      <c r="AL57" s="138" t="s">
        <v>44</v>
      </c>
      <c r="AM57" s="138" t="s">
        <v>44</v>
      </c>
      <c r="AN57" s="138" t="s">
        <v>44</v>
      </c>
      <c r="AO57" s="70">
        <v>5896</v>
      </c>
      <c r="AP57" s="37">
        <v>5896</v>
      </c>
      <c r="AQ57" s="138" t="s">
        <v>44</v>
      </c>
      <c r="AR57" s="138" t="s">
        <v>44</v>
      </c>
      <c r="AS57" s="138" t="s">
        <v>44</v>
      </c>
      <c r="AT57" s="70">
        <v>5649</v>
      </c>
      <c r="AU57" s="37">
        <v>5649</v>
      </c>
      <c r="AV57" s="138" t="s">
        <v>44</v>
      </c>
      <c r="AW57" s="138" t="s">
        <v>44</v>
      </c>
      <c r="AX57" s="138" t="s">
        <v>44</v>
      </c>
      <c r="AY57" s="70">
        <v>5582</v>
      </c>
      <c r="AZ57" s="37">
        <v>5582</v>
      </c>
      <c r="BA57" s="138" t="s">
        <v>44</v>
      </c>
      <c r="BB57" s="138" t="s">
        <v>44</v>
      </c>
      <c r="BC57" s="138" t="s">
        <v>44</v>
      </c>
      <c r="BD57" s="70">
        <v>5494</v>
      </c>
      <c r="BE57" s="37">
        <v>5494</v>
      </c>
      <c r="BF57" s="3"/>
      <c r="BG57" s="3"/>
      <c r="BH57" s="3"/>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36"/>
      <c r="EA57" s="36"/>
      <c r="EB57" s="36"/>
      <c r="EC57" s="36"/>
      <c r="ED57" s="36"/>
      <c r="EE57" s="36"/>
      <c r="EF57" s="36"/>
      <c r="EG57" s="36"/>
      <c r="EH57" s="36"/>
      <c r="EI57" s="36"/>
      <c r="EJ57" s="36"/>
      <c r="EK57" s="36"/>
      <c r="EL57" s="36"/>
      <c r="EM57" s="36"/>
      <c r="EN57" s="36"/>
      <c r="EO57" s="36"/>
      <c r="EP57" s="36"/>
      <c r="EQ57" s="36"/>
      <c r="ER57" s="36"/>
      <c r="ES57" s="36"/>
      <c r="ET57" s="36"/>
      <c r="EU57" s="36"/>
      <c r="EV57" s="36"/>
      <c r="EW57" s="36"/>
      <c r="EX57" s="36"/>
      <c r="EY57" s="36"/>
      <c r="EZ57" s="36"/>
      <c r="FA57" s="36"/>
      <c r="FB57" s="36"/>
      <c r="FC57" s="36"/>
      <c r="FD57" s="36"/>
      <c r="FE57" s="36"/>
      <c r="FF57" s="36"/>
      <c r="FG57" s="36"/>
      <c r="FH57" s="36"/>
      <c r="FI57" s="36"/>
      <c r="FJ57" s="36"/>
      <c r="FK57" s="36"/>
      <c r="FL57" s="36"/>
      <c r="FM57" s="36"/>
      <c r="FN57" s="36"/>
      <c r="FO57" s="36"/>
      <c r="FP57" s="36"/>
      <c r="FQ57" s="36"/>
      <c r="FR57" s="36"/>
      <c r="FS57" s="36"/>
      <c r="FT57" s="36"/>
      <c r="FU57" s="36"/>
      <c r="FV57" s="36"/>
      <c r="FW57" s="36"/>
      <c r="FX57" s="36"/>
      <c r="FY57" s="36"/>
      <c r="FZ57" s="36"/>
      <c r="GA57" s="36"/>
      <c r="GB57" s="36"/>
      <c r="GC57" s="36"/>
      <c r="GD57" s="36"/>
      <c r="GE57" s="36"/>
      <c r="GF57" s="36"/>
      <c r="GG57" s="36"/>
      <c r="GH57" s="36"/>
      <c r="GI57" s="36"/>
      <c r="GJ57" s="36"/>
      <c r="GK57" s="36"/>
      <c r="GL57" s="36"/>
      <c r="GM57" s="36"/>
      <c r="GN57" s="36"/>
      <c r="GO57" s="36"/>
      <c r="GP57" s="36"/>
      <c r="GQ57" s="36"/>
      <c r="GR57" s="36"/>
      <c r="GS57" s="36"/>
      <c r="GT57" s="36"/>
    </row>
    <row r="58" spans="1:202" ht="13.5" customHeight="1">
      <c r="A58" s="71" t="s">
        <v>8</v>
      </c>
      <c r="B58" s="24"/>
      <c r="C58" s="73"/>
      <c r="D58" s="73"/>
      <c r="E58" s="73"/>
      <c r="F58" s="73"/>
      <c r="G58" s="24">
        <f>G57/B57-1</f>
        <v>-1.1032308904649346E-2</v>
      </c>
      <c r="H58" s="73"/>
      <c r="I58" s="73"/>
      <c r="J58" s="73"/>
      <c r="K58" s="72"/>
      <c r="L58" s="24">
        <f>L57/G57-1</f>
        <v>-2.2045152722443562E-2</v>
      </c>
      <c r="M58" s="73"/>
      <c r="N58" s="73"/>
      <c r="O58" s="73"/>
      <c r="P58" s="72"/>
      <c r="Q58" s="24">
        <v>-2.0097772949484005E-2</v>
      </c>
      <c r="R58" s="73"/>
      <c r="S58" s="73"/>
      <c r="T58" s="73"/>
      <c r="U58" s="72"/>
      <c r="V58" s="24">
        <v>-1.940133037694014E-2</v>
      </c>
      <c r="W58" s="73"/>
      <c r="X58" s="73"/>
      <c r="Y58" s="73"/>
      <c r="Z58" s="72"/>
      <c r="AA58" s="24">
        <v>4.8897682306387802E-2</v>
      </c>
      <c r="AB58" s="73"/>
      <c r="AC58" s="73"/>
      <c r="AD58" s="73"/>
      <c r="AE58" s="72"/>
      <c r="AF58" s="24">
        <v>-0.12705470223659387</v>
      </c>
      <c r="AG58" s="73"/>
      <c r="AH58" s="73"/>
      <c r="AI58" s="73"/>
      <c r="AJ58" s="72"/>
      <c r="AK58" s="24">
        <v>-7.9487575243093023E-2</v>
      </c>
      <c r="AL58" s="73"/>
      <c r="AM58" s="73"/>
      <c r="AN58" s="73"/>
      <c r="AO58" s="72"/>
      <c r="AP58" s="24">
        <v>-1.1401743796110031E-2</v>
      </c>
      <c r="AQ58" s="73"/>
      <c r="AR58" s="73"/>
      <c r="AS58" s="73"/>
      <c r="AT58" s="72"/>
      <c r="AU58" s="24">
        <v>-4.1892808683853477E-2</v>
      </c>
      <c r="AV58" s="73"/>
      <c r="AW58" s="73"/>
      <c r="AX58" s="73"/>
      <c r="AY58" s="72"/>
      <c r="AZ58" s="24">
        <v>-1.1860506284298133E-2</v>
      </c>
      <c r="BA58" s="73"/>
      <c r="BB58" s="73"/>
      <c r="BC58" s="73"/>
      <c r="BD58" s="72"/>
      <c r="BE58" s="24">
        <v>-1.5764958796130379E-2</v>
      </c>
    </row>
    <row r="59" spans="1:202" ht="2.25" customHeight="1">
      <c r="A59" s="71"/>
      <c r="B59" s="24"/>
      <c r="C59" s="73"/>
      <c r="D59" s="73"/>
      <c r="E59" s="73"/>
      <c r="F59" s="73"/>
      <c r="G59" s="24"/>
      <c r="H59" s="73"/>
      <c r="I59" s="73"/>
      <c r="J59" s="73"/>
      <c r="K59" s="72"/>
      <c r="L59" s="24"/>
      <c r="M59" s="73"/>
      <c r="N59" s="73"/>
      <c r="O59" s="73"/>
      <c r="P59" s="72"/>
      <c r="Q59" s="24"/>
      <c r="R59" s="73"/>
      <c r="S59" s="73"/>
      <c r="T59" s="73"/>
      <c r="U59" s="72"/>
      <c r="V59" s="24"/>
      <c r="W59" s="73"/>
      <c r="X59" s="73"/>
      <c r="Y59" s="73"/>
      <c r="Z59" s="72"/>
      <c r="AA59" s="24"/>
      <c r="AB59" s="73"/>
      <c r="AC59" s="73"/>
      <c r="AD59" s="73"/>
      <c r="AE59" s="72"/>
      <c r="AF59" s="24"/>
      <c r="AG59" s="73"/>
      <c r="AH59" s="73"/>
      <c r="AI59" s="73"/>
      <c r="AJ59" s="72"/>
      <c r="AK59" s="24"/>
      <c r="AL59" s="73"/>
      <c r="AM59" s="73"/>
      <c r="AN59" s="73"/>
      <c r="AO59" s="72"/>
      <c r="AP59" s="24" t="s">
        <v>166</v>
      </c>
      <c r="AQ59" s="73"/>
      <c r="AR59" s="73"/>
      <c r="AS59" s="73"/>
      <c r="AT59" s="72"/>
      <c r="AU59" s="24" t="s">
        <v>166</v>
      </c>
      <c r="AV59" s="73"/>
      <c r="AW59" s="73"/>
      <c r="AX59" s="73"/>
      <c r="AY59" s="72"/>
      <c r="AZ59" s="24" t="s">
        <v>166</v>
      </c>
      <c r="BA59" s="73"/>
      <c r="BB59" s="73"/>
      <c r="BC59" s="73"/>
      <c r="BD59" s="72"/>
      <c r="BE59" s="24" t="s">
        <v>166</v>
      </c>
    </row>
    <row r="60" spans="1:202" s="46" customFormat="1" ht="13.95" customHeight="1">
      <c r="A60" s="69" t="s">
        <v>157</v>
      </c>
      <c r="B60" s="169" t="s">
        <v>44</v>
      </c>
      <c r="C60" s="39"/>
      <c r="D60" s="39"/>
      <c r="E60" s="39"/>
      <c r="F60" s="39"/>
      <c r="G60" s="169" t="s">
        <v>44</v>
      </c>
      <c r="H60" s="39"/>
      <c r="I60" s="39"/>
      <c r="J60" s="39"/>
      <c r="K60" s="39"/>
      <c r="L60" s="170">
        <v>0.59</v>
      </c>
      <c r="M60" s="170"/>
      <c r="N60" s="170"/>
      <c r="O60" s="170"/>
      <c r="P60" s="170"/>
      <c r="Q60" s="170">
        <v>0.59</v>
      </c>
      <c r="R60" s="170"/>
      <c r="S60" s="170"/>
      <c r="T60" s="170"/>
      <c r="U60" s="170"/>
      <c r="V60" s="170">
        <v>0.59</v>
      </c>
      <c r="W60" s="170"/>
      <c r="X60" s="170"/>
      <c r="Y60" s="170"/>
      <c r="Z60" s="170"/>
      <c r="AA60" s="170">
        <v>0.6</v>
      </c>
      <c r="AB60" s="170"/>
      <c r="AC60" s="170"/>
      <c r="AD60" s="170"/>
      <c r="AE60" s="170"/>
      <c r="AF60" s="170">
        <v>0.63</v>
      </c>
      <c r="AG60" s="138" t="s">
        <v>44</v>
      </c>
      <c r="AH60" s="138" t="s">
        <v>44</v>
      </c>
      <c r="AI60" s="138" t="s">
        <v>44</v>
      </c>
      <c r="AJ60" s="138" t="s">
        <v>44</v>
      </c>
      <c r="AK60" s="170">
        <v>0.66</v>
      </c>
      <c r="AL60" s="138" t="s">
        <v>44</v>
      </c>
      <c r="AM60" s="138" t="s">
        <v>44</v>
      </c>
      <c r="AN60" s="138" t="s">
        <v>44</v>
      </c>
      <c r="AO60" s="138" t="s">
        <v>44</v>
      </c>
      <c r="AP60" s="170">
        <v>0.68</v>
      </c>
      <c r="AQ60" s="138" t="s">
        <v>44</v>
      </c>
      <c r="AR60" s="138" t="s">
        <v>44</v>
      </c>
      <c r="AS60" s="138" t="s">
        <v>44</v>
      </c>
      <c r="AT60" s="138" t="s">
        <v>44</v>
      </c>
      <c r="AU60" s="170">
        <v>0.69</v>
      </c>
      <c r="AV60" s="138" t="s">
        <v>44</v>
      </c>
      <c r="AW60" s="138" t="s">
        <v>44</v>
      </c>
      <c r="AX60" s="138" t="s">
        <v>44</v>
      </c>
      <c r="AY60" s="138" t="s">
        <v>44</v>
      </c>
      <c r="AZ60" s="170">
        <v>0.7</v>
      </c>
      <c r="BA60" s="138" t="s">
        <v>44</v>
      </c>
      <c r="BB60" s="138" t="s">
        <v>44</v>
      </c>
      <c r="BC60" s="138" t="s">
        <v>44</v>
      </c>
      <c r="BD60" s="138" t="s">
        <v>44</v>
      </c>
      <c r="BE60" s="170">
        <v>0.69</v>
      </c>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row>
    <row r="61" spans="1:202" s="46" customFormat="1" ht="13.5" customHeight="1">
      <c r="A61" s="69" t="s">
        <v>161</v>
      </c>
      <c r="B61" s="169" t="s">
        <v>44</v>
      </c>
      <c r="C61" s="39"/>
      <c r="D61" s="39"/>
      <c r="E61" s="39"/>
      <c r="F61" s="39"/>
      <c r="G61" s="169" t="s">
        <v>44</v>
      </c>
      <c r="H61" s="39"/>
      <c r="I61" s="39"/>
      <c r="J61" s="39"/>
      <c r="K61" s="39"/>
      <c r="L61" s="170">
        <v>0.72</v>
      </c>
      <c r="M61" s="170"/>
      <c r="N61" s="170"/>
      <c r="O61" s="170"/>
      <c r="P61" s="170"/>
      <c r="Q61" s="170">
        <v>0.65</v>
      </c>
      <c r="R61" s="170"/>
      <c r="S61" s="170"/>
      <c r="T61" s="170"/>
      <c r="U61" s="170"/>
      <c r="V61" s="170">
        <v>0.63</v>
      </c>
      <c r="W61" s="170"/>
      <c r="X61" s="170"/>
      <c r="Y61" s="170"/>
      <c r="Z61" s="170"/>
      <c r="AA61" s="170">
        <v>0.59</v>
      </c>
      <c r="AB61" s="170"/>
      <c r="AC61" s="170"/>
      <c r="AD61" s="170"/>
      <c r="AE61" s="170"/>
      <c r="AF61" s="170">
        <v>0.56999999999999995</v>
      </c>
      <c r="AG61" s="138" t="s">
        <v>44</v>
      </c>
      <c r="AH61" s="138" t="s">
        <v>44</v>
      </c>
      <c r="AI61" s="138" t="s">
        <v>44</v>
      </c>
      <c r="AJ61" s="138" t="s">
        <v>44</v>
      </c>
      <c r="AK61" s="170">
        <v>0.56000000000000005</v>
      </c>
      <c r="AL61" s="138" t="s">
        <v>44</v>
      </c>
      <c r="AM61" s="138" t="s">
        <v>44</v>
      </c>
      <c r="AN61" s="138" t="s">
        <v>44</v>
      </c>
      <c r="AO61" s="138" t="s">
        <v>44</v>
      </c>
      <c r="AP61" s="170">
        <v>0.56000000000000005</v>
      </c>
      <c r="AQ61" s="138" t="s">
        <v>44</v>
      </c>
      <c r="AR61" s="138" t="s">
        <v>44</v>
      </c>
      <c r="AS61" s="138" t="s">
        <v>44</v>
      </c>
      <c r="AT61" s="138" t="s">
        <v>44</v>
      </c>
      <c r="AU61" s="170">
        <v>0.55000000000000004</v>
      </c>
      <c r="AV61" s="138" t="s">
        <v>44</v>
      </c>
      <c r="AW61" s="138" t="s">
        <v>44</v>
      </c>
      <c r="AX61" s="138" t="s">
        <v>44</v>
      </c>
      <c r="AY61" s="138" t="s">
        <v>44</v>
      </c>
      <c r="AZ61" s="170">
        <v>0.53</v>
      </c>
      <c r="BA61" s="138" t="s">
        <v>44</v>
      </c>
      <c r="BB61" s="138" t="s">
        <v>44</v>
      </c>
      <c r="BC61" s="138" t="s">
        <v>44</v>
      </c>
      <c r="BD61" s="138" t="s">
        <v>44</v>
      </c>
      <c r="BE61" s="170">
        <v>0.52</v>
      </c>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row>
    <row r="62" spans="1:202" s="46" customFormat="1" ht="14.25" customHeight="1">
      <c r="A62" s="69" t="s">
        <v>164</v>
      </c>
      <c r="B62" s="169" t="s">
        <v>44</v>
      </c>
      <c r="C62" s="39"/>
      <c r="D62" s="39"/>
      <c r="E62" s="39"/>
      <c r="F62" s="39"/>
      <c r="G62" s="169" t="s">
        <v>44</v>
      </c>
      <c r="H62" s="39"/>
      <c r="I62" s="39"/>
      <c r="J62" s="39"/>
      <c r="K62" s="39"/>
      <c r="L62" s="170">
        <v>0.82</v>
      </c>
      <c r="M62" s="170"/>
      <c r="N62" s="170"/>
      <c r="O62" s="170"/>
      <c r="P62" s="170"/>
      <c r="Q62" s="170">
        <v>0.78</v>
      </c>
      <c r="R62" s="170"/>
      <c r="S62" s="170"/>
      <c r="T62" s="170"/>
      <c r="U62" s="170"/>
      <c r="V62" s="170">
        <v>0.76</v>
      </c>
      <c r="W62" s="170"/>
      <c r="X62" s="170"/>
      <c r="Y62" s="170"/>
      <c r="Z62" s="170"/>
      <c r="AA62" s="170">
        <v>0.75</v>
      </c>
      <c r="AB62" s="170"/>
      <c r="AC62" s="170"/>
      <c r="AD62" s="170"/>
      <c r="AE62" s="170"/>
      <c r="AF62" s="170">
        <v>0.74</v>
      </c>
      <c r="AG62" s="138" t="s">
        <v>44</v>
      </c>
      <c r="AH62" s="138" t="s">
        <v>44</v>
      </c>
      <c r="AI62" s="138" t="s">
        <v>44</v>
      </c>
      <c r="AJ62" s="138" t="s">
        <v>44</v>
      </c>
      <c r="AK62" s="170">
        <v>0.74</v>
      </c>
      <c r="AL62" s="138" t="s">
        <v>44</v>
      </c>
      <c r="AM62" s="138" t="s">
        <v>44</v>
      </c>
      <c r="AN62" s="138" t="s">
        <v>44</v>
      </c>
      <c r="AO62" s="138" t="s">
        <v>44</v>
      </c>
      <c r="AP62" s="170">
        <v>0.74</v>
      </c>
      <c r="AQ62" s="138" t="s">
        <v>44</v>
      </c>
      <c r="AR62" s="138" t="s">
        <v>44</v>
      </c>
      <c r="AS62" s="138" t="s">
        <v>44</v>
      </c>
      <c r="AT62" s="138" t="s">
        <v>44</v>
      </c>
      <c r="AU62" s="170">
        <v>0.73</v>
      </c>
      <c r="AV62" s="138" t="s">
        <v>44</v>
      </c>
      <c r="AW62" s="138" t="s">
        <v>44</v>
      </c>
      <c r="AX62" s="138" t="s">
        <v>44</v>
      </c>
      <c r="AY62" s="138" t="s">
        <v>44</v>
      </c>
      <c r="AZ62" s="170">
        <v>0.72</v>
      </c>
      <c r="BA62" s="138" t="s">
        <v>44</v>
      </c>
      <c r="BB62" s="138" t="s">
        <v>44</v>
      </c>
      <c r="BC62" s="138" t="s">
        <v>44</v>
      </c>
      <c r="BD62" s="138" t="s">
        <v>44</v>
      </c>
      <c r="BE62" s="170">
        <v>0.71</v>
      </c>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row>
    <row r="63" spans="1:202" s="46" customFormat="1" ht="3.75" customHeight="1">
      <c r="A63" s="44"/>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row>
    <row r="64" spans="1:202" s="46" customFormat="1" ht="11.25" customHeight="1">
      <c r="A64" s="95"/>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row>
    <row r="65" spans="1:202" s="46" customFormat="1" ht="4.5" customHeight="1">
      <c r="A65" s="44"/>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row>
    <row r="66" spans="1:202" ht="21">
      <c r="A66" s="35" t="s">
        <v>3</v>
      </c>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4"/>
      <c r="BG66" s="4"/>
      <c r="BH66" s="4"/>
    </row>
    <row r="67" spans="1:202" s="43" customFormat="1">
      <c r="A67" s="40" t="s">
        <v>27</v>
      </c>
      <c r="B67" s="96"/>
      <c r="C67" s="42"/>
      <c r="D67" s="42"/>
      <c r="E67" s="42"/>
      <c r="F67" s="42"/>
      <c r="G67" s="41"/>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1"/>
      <c r="BG67" s="1"/>
      <c r="BH67" s="1"/>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row>
    <row r="68" spans="1:202" s="34" customFormat="1">
      <c r="A68" s="69"/>
      <c r="B68" s="29"/>
      <c r="C68" s="69"/>
      <c r="D68" s="69"/>
      <c r="E68" s="69"/>
      <c r="F68" s="69"/>
      <c r="G68" s="29"/>
      <c r="H68" s="69"/>
      <c r="I68" s="69"/>
      <c r="J68" s="69"/>
      <c r="K68" s="69"/>
      <c r="L68" s="21"/>
      <c r="M68" s="69"/>
      <c r="N68" s="69"/>
      <c r="O68" s="69"/>
      <c r="P68" s="69"/>
      <c r="Q68" s="21"/>
      <c r="R68" s="69"/>
      <c r="S68" s="69"/>
      <c r="T68" s="69"/>
      <c r="U68" s="69"/>
      <c r="V68" s="21"/>
      <c r="W68" s="69"/>
      <c r="X68" s="69"/>
      <c r="Y68" s="69"/>
      <c r="Z68" s="69"/>
      <c r="AA68" s="21"/>
      <c r="AB68" s="69"/>
      <c r="AC68" s="69"/>
      <c r="AD68" s="69"/>
      <c r="AE68" s="69"/>
      <c r="AF68" s="21"/>
      <c r="AG68" s="69"/>
      <c r="AH68" s="69"/>
      <c r="AI68" s="69"/>
      <c r="AJ68" s="69"/>
      <c r="AK68" s="21"/>
      <c r="AL68" s="69"/>
      <c r="AM68" s="69"/>
      <c r="AN68" s="69"/>
      <c r="AO68" s="69"/>
      <c r="AP68" s="21"/>
      <c r="AQ68" s="69"/>
      <c r="AR68" s="69"/>
      <c r="AS68" s="69"/>
      <c r="AT68" s="69"/>
      <c r="AU68" s="21"/>
      <c r="AV68" s="223"/>
      <c r="AW68" s="223"/>
      <c r="AX68" s="223"/>
      <c r="AY68" s="223"/>
      <c r="AZ68" s="27"/>
      <c r="BA68" s="223"/>
      <c r="BB68" s="223"/>
      <c r="BC68" s="223"/>
      <c r="BD68" s="223"/>
      <c r="BE68" s="27"/>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row>
    <row r="69" spans="1:202" s="2" customFormat="1">
      <c r="A69" s="69" t="s">
        <v>149</v>
      </c>
      <c r="B69" s="38">
        <v>2622</v>
      </c>
      <c r="C69" s="70">
        <v>2595</v>
      </c>
      <c r="D69" s="70">
        <v>2636</v>
      </c>
      <c r="E69" s="70">
        <v>2698</v>
      </c>
      <c r="F69" s="70">
        <v>2649</v>
      </c>
      <c r="G69" s="38">
        <v>2649</v>
      </c>
      <c r="H69" s="70">
        <v>2669</v>
      </c>
      <c r="I69" s="70">
        <v>2694</v>
      </c>
      <c r="J69" s="70">
        <v>2721</v>
      </c>
      <c r="K69" s="70">
        <f>L69</f>
        <v>2766</v>
      </c>
      <c r="L69" s="91">
        <v>2766</v>
      </c>
      <c r="M69" s="70">
        <v>2789</v>
      </c>
      <c r="N69" s="70">
        <v>2807</v>
      </c>
      <c r="O69" s="70">
        <v>2825</v>
      </c>
      <c r="P69" s="70">
        <f>Q69</f>
        <v>2857</v>
      </c>
      <c r="Q69" s="91">
        <v>2857</v>
      </c>
      <c r="R69" s="70">
        <v>2861</v>
      </c>
      <c r="S69" s="70">
        <v>2827</v>
      </c>
      <c r="T69" s="70">
        <v>2842</v>
      </c>
      <c r="U69" s="70">
        <v>2847</v>
      </c>
      <c r="V69" s="91">
        <v>2847</v>
      </c>
      <c r="W69" s="70">
        <v>2876</v>
      </c>
      <c r="X69" s="70">
        <v>2859</v>
      </c>
      <c r="Y69" s="70">
        <v>2839</v>
      </c>
      <c r="Z69" s="70">
        <v>2800</v>
      </c>
      <c r="AA69" s="91">
        <v>2800</v>
      </c>
      <c r="AB69" s="70">
        <v>2741</v>
      </c>
      <c r="AC69" s="70">
        <v>2702</v>
      </c>
      <c r="AD69" s="70">
        <v>2683</v>
      </c>
      <c r="AE69" s="70">
        <v>2642</v>
      </c>
      <c r="AF69" s="91">
        <v>2642</v>
      </c>
      <c r="AG69" s="70">
        <v>2631</v>
      </c>
      <c r="AH69" s="70">
        <v>2610</v>
      </c>
      <c r="AI69" s="70">
        <v>2600</v>
      </c>
      <c r="AJ69" s="70">
        <v>2586</v>
      </c>
      <c r="AK69" s="91">
        <v>2586</v>
      </c>
      <c r="AL69" s="70">
        <v>2565</v>
      </c>
      <c r="AM69" s="70">
        <v>2566</v>
      </c>
      <c r="AN69" s="70">
        <v>2569</v>
      </c>
      <c r="AO69" s="70">
        <v>2651</v>
      </c>
      <c r="AP69" s="91">
        <v>2651</v>
      </c>
      <c r="AQ69" s="70">
        <v>2692</v>
      </c>
      <c r="AR69" s="70">
        <v>2260</v>
      </c>
      <c r="AS69" s="70">
        <v>2348</v>
      </c>
      <c r="AT69" s="70">
        <v>2402</v>
      </c>
      <c r="AU69" s="91">
        <v>2402</v>
      </c>
      <c r="AV69" s="70">
        <v>2430</v>
      </c>
      <c r="AW69" s="70">
        <v>2410</v>
      </c>
      <c r="AX69" s="70">
        <v>2475</v>
      </c>
      <c r="AY69" s="70">
        <v>2525</v>
      </c>
      <c r="AZ69" s="91">
        <v>2525</v>
      </c>
      <c r="BA69" s="70">
        <v>2546</v>
      </c>
      <c r="BB69" s="70">
        <v>2601</v>
      </c>
      <c r="BC69" s="70">
        <v>2185</v>
      </c>
      <c r="BD69" s="70">
        <v>2205</v>
      </c>
      <c r="BE69" s="91">
        <v>2205</v>
      </c>
      <c r="BF69" s="3"/>
      <c r="BG69" s="3"/>
      <c r="BH69" s="3"/>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36"/>
      <c r="EA69" s="36"/>
      <c r="EB69" s="36"/>
      <c r="EC69" s="36"/>
      <c r="ED69" s="36"/>
      <c r="EE69" s="36"/>
      <c r="EF69" s="36"/>
      <c r="EG69" s="36"/>
      <c r="EH69" s="36"/>
      <c r="EI69" s="36"/>
      <c r="EJ69" s="36"/>
      <c r="EK69" s="36"/>
      <c r="EL69" s="36"/>
      <c r="EM69" s="36"/>
      <c r="EN69" s="36"/>
      <c r="EO69" s="36"/>
      <c r="EP69" s="36"/>
      <c r="EQ69" s="36"/>
      <c r="ER69" s="36"/>
      <c r="ES69" s="36"/>
      <c r="ET69" s="36"/>
      <c r="EU69" s="36"/>
      <c r="EV69" s="36"/>
      <c r="EW69" s="36"/>
      <c r="EX69" s="36"/>
      <c r="EY69" s="36"/>
      <c r="EZ69" s="36"/>
      <c r="FA69" s="36"/>
      <c r="FB69" s="36"/>
      <c r="FC69" s="36"/>
      <c r="FD69" s="36"/>
      <c r="FE69" s="36"/>
      <c r="FF69" s="36"/>
      <c r="FG69" s="36"/>
      <c r="FH69" s="36"/>
      <c r="FI69" s="36"/>
      <c r="FJ69" s="36"/>
      <c r="FK69" s="36"/>
      <c r="FL69" s="36"/>
      <c r="FM69" s="36"/>
      <c r="FN69" s="36"/>
      <c r="FO69" s="36"/>
      <c r="FP69" s="36"/>
      <c r="FQ69" s="36"/>
      <c r="FR69" s="36"/>
      <c r="FS69" s="36"/>
      <c r="FT69" s="36"/>
      <c r="FU69" s="36"/>
      <c r="FV69" s="36"/>
      <c r="FW69" s="36"/>
      <c r="FX69" s="36"/>
      <c r="FY69" s="36"/>
      <c r="FZ69" s="36"/>
      <c r="GA69" s="36"/>
      <c r="GB69" s="36"/>
      <c r="GC69" s="36"/>
      <c r="GD69" s="36"/>
      <c r="GE69" s="36"/>
      <c r="GF69" s="36"/>
      <c r="GG69" s="36"/>
      <c r="GH69" s="36"/>
      <c r="GI69" s="36"/>
      <c r="GJ69" s="36"/>
      <c r="GK69" s="36"/>
      <c r="GL69" s="36"/>
      <c r="GM69" s="36"/>
      <c r="GN69" s="36"/>
      <c r="GO69" s="36"/>
      <c r="GP69" s="36"/>
      <c r="GQ69" s="36"/>
      <c r="GR69" s="36"/>
      <c r="GS69" s="36"/>
      <c r="GT69" s="36"/>
    </row>
    <row r="70" spans="1:202">
      <c r="A70" s="71" t="s">
        <v>7</v>
      </c>
      <c r="B70" s="24"/>
      <c r="C70" s="72"/>
      <c r="D70" s="72">
        <f>D69/C69-1</f>
        <v>1.579961464354529E-2</v>
      </c>
      <c r="E70" s="72">
        <f>E69/D69-1</f>
        <v>2.3520485584218598E-2</v>
      </c>
      <c r="F70" s="72">
        <f>F69/E69-1</f>
        <v>-1.8161601186063803E-2</v>
      </c>
      <c r="G70" s="24"/>
      <c r="H70" s="72">
        <f>H69/F69-1</f>
        <v>7.5500188750472486E-3</v>
      </c>
      <c r="I70" s="72">
        <f>I69/H69-1</f>
        <v>9.3668040464593982E-3</v>
      </c>
      <c r="J70" s="72">
        <f>J69/I69-1</f>
        <v>1.0022271714922093E-2</v>
      </c>
      <c r="K70" s="72">
        <f>K69/J69-1</f>
        <v>1.6538037486218293E-2</v>
      </c>
      <c r="L70" s="27"/>
      <c r="M70" s="72">
        <f>M69/K69-1</f>
        <v>8.315256688358641E-3</v>
      </c>
      <c r="N70" s="72">
        <f>N69/M69-1</f>
        <v>6.4539261384009006E-3</v>
      </c>
      <c r="O70" s="72">
        <f>O69/N69-1</f>
        <v>6.4125400783754394E-3</v>
      </c>
      <c r="P70" s="72">
        <f>P69/O69-1</f>
        <v>1.1327433628318673E-2</v>
      </c>
      <c r="Q70" s="27"/>
      <c r="R70" s="72">
        <v>1.4000700035001756E-3</v>
      </c>
      <c r="S70" s="72">
        <v>-1.1883956658511052E-2</v>
      </c>
      <c r="T70" s="72">
        <v>5.3059780686239844E-3</v>
      </c>
      <c r="U70" s="72">
        <v>1.7593244194229474E-3</v>
      </c>
      <c r="V70" s="27"/>
      <c r="W70" s="72">
        <v>1.0186160871092476E-2</v>
      </c>
      <c r="X70" s="72">
        <v>-5.9109874826147601E-3</v>
      </c>
      <c r="Y70" s="72">
        <v>-6.9954529555789069E-3</v>
      </c>
      <c r="Z70" s="72">
        <v>-1.3737231419513884E-2</v>
      </c>
      <c r="AA70" s="27"/>
      <c r="AB70" s="72">
        <v>-2.1071428571428519E-2</v>
      </c>
      <c r="AC70" s="72">
        <v>-1.4228383801532241E-2</v>
      </c>
      <c r="AD70" s="72">
        <v>-7.0318282753515371E-3</v>
      </c>
      <c r="AE70" s="72">
        <v>-1.5281401416325058E-2</v>
      </c>
      <c r="AF70" s="27"/>
      <c r="AG70" s="72">
        <v>-4.1635124905374798E-3</v>
      </c>
      <c r="AH70" s="72">
        <v>-7.9817559863170073E-3</v>
      </c>
      <c r="AI70" s="72">
        <v>-3.8314176245211051E-3</v>
      </c>
      <c r="AJ70" s="72">
        <v>-5.3846153846154321E-3</v>
      </c>
      <c r="AK70" s="27"/>
      <c r="AL70" s="72">
        <v>-8.1206496519721227E-3</v>
      </c>
      <c r="AM70" s="72">
        <v>3.898635477583845E-4</v>
      </c>
      <c r="AN70" s="72">
        <v>1.1691348402182999E-3</v>
      </c>
      <c r="AO70" s="72">
        <v>3.191903464383028E-2</v>
      </c>
      <c r="AP70" s="27"/>
      <c r="AQ70" s="72">
        <v>1.546586193889099E-2</v>
      </c>
      <c r="AR70" s="72">
        <v>-0.16047548291233282</v>
      </c>
      <c r="AS70" s="72">
        <v>3.8938053097345104E-2</v>
      </c>
      <c r="AT70" s="72">
        <v>2.2998296422487297E-2</v>
      </c>
      <c r="AU70" s="27"/>
      <c r="AV70" s="72">
        <v>1.1656952539550458E-2</v>
      </c>
      <c r="AW70" s="72">
        <v>-8.2304526748970819E-3</v>
      </c>
      <c r="AX70" s="72">
        <v>2.6970954356846377E-2</v>
      </c>
      <c r="AY70" s="72">
        <v>2.020202020202011E-2</v>
      </c>
      <c r="AZ70" s="27"/>
      <c r="BA70" s="72">
        <v>8.3168316831683242E-3</v>
      </c>
      <c r="BB70" s="72">
        <v>2.1602513747054131E-2</v>
      </c>
      <c r="BC70" s="72">
        <v>-0.1599384851980008</v>
      </c>
      <c r="BD70" s="72">
        <v>9.1533180778031742E-3</v>
      </c>
      <c r="BE70" s="27"/>
    </row>
    <row r="71" spans="1:202">
      <c r="A71" s="71" t="s">
        <v>8</v>
      </c>
      <c r="B71" s="24"/>
      <c r="C71" s="73"/>
      <c r="D71" s="73"/>
      <c r="E71" s="73"/>
      <c r="F71" s="73"/>
      <c r="G71" s="24">
        <f t="shared" ref="G71:N71" si="23">G69/B69-1</f>
        <v>1.0297482837528626E-2</v>
      </c>
      <c r="H71" s="73">
        <f t="shared" si="23"/>
        <v>2.8516377649325575E-2</v>
      </c>
      <c r="I71" s="73">
        <f t="shared" si="23"/>
        <v>2.2003034901365792E-2</v>
      </c>
      <c r="J71" s="73">
        <f t="shared" si="23"/>
        <v>8.5248332097849211E-3</v>
      </c>
      <c r="K71" s="72">
        <f t="shared" si="23"/>
        <v>4.416761041902606E-2</v>
      </c>
      <c r="L71" s="24">
        <f t="shared" si="23"/>
        <v>4.416761041902606E-2</v>
      </c>
      <c r="M71" s="73">
        <f t="shared" si="23"/>
        <v>4.4960659423004978E-2</v>
      </c>
      <c r="N71" s="73">
        <f t="shared" si="23"/>
        <v>4.1945063103192348E-2</v>
      </c>
      <c r="O71" s="73">
        <f t="shared" ref="O71:P71" si="24">O69/J69-1</f>
        <v>3.8221242190371152E-2</v>
      </c>
      <c r="P71" s="72">
        <f t="shared" si="24"/>
        <v>3.2899493853940642E-2</v>
      </c>
      <c r="Q71" s="24">
        <v>3.2899493853940642E-2</v>
      </c>
      <c r="R71" s="73">
        <v>2.581570455360338E-2</v>
      </c>
      <c r="S71" s="73">
        <v>7.1250445315282906E-3</v>
      </c>
      <c r="T71" s="73">
        <v>6.0176991150442394E-3</v>
      </c>
      <c r="U71" s="72">
        <v>-3.5001750087504391E-3</v>
      </c>
      <c r="V71" s="24">
        <v>-3.5001750087504391E-3</v>
      </c>
      <c r="W71" s="73">
        <v>5.2429220552254741E-3</v>
      </c>
      <c r="X71" s="73">
        <v>1.1319419879731063E-2</v>
      </c>
      <c r="Y71" s="73">
        <v>-1.055594651653724E-3</v>
      </c>
      <c r="Z71" s="72">
        <v>-1.6508605549701461E-2</v>
      </c>
      <c r="AA71" s="24">
        <v>-1.6508605549701461E-2</v>
      </c>
      <c r="AB71" s="73">
        <v>-4.6940194714881756E-2</v>
      </c>
      <c r="AC71" s="73">
        <v>-5.4914305701294186E-2</v>
      </c>
      <c r="AD71" s="73">
        <v>-5.4948925678055649E-2</v>
      </c>
      <c r="AE71" s="72">
        <v>-5.6428571428571384E-2</v>
      </c>
      <c r="AF71" s="24">
        <v>-5.6428571428571384E-2</v>
      </c>
      <c r="AG71" s="73">
        <v>-4.013133892739873E-2</v>
      </c>
      <c r="AH71" s="73">
        <v>-3.4048852701702437E-2</v>
      </c>
      <c r="AI71" s="73">
        <v>-3.0935519940365253E-2</v>
      </c>
      <c r="AJ71" s="72">
        <v>-2.1196063588190817E-2</v>
      </c>
      <c r="AK71" s="24">
        <v>-2.1196063588190817E-2</v>
      </c>
      <c r="AL71" s="73">
        <v>-2.5085518814139118E-2</v>
      </c>
      <c r="AM71" s="73">
        <v>-1.6858237547892729E-2</v>
      </c>
      <c r="AN71" s="73">
        <v>-1.1923076923076925E-2</v>
      </c>
      <c r="AO71" s="72">
        <v>2.5135344160866158E-2</v>
      </c>
      <c r="AP71" s="24">
        <v>2.5135344160866158E-2</v>
      </c>
      <c r="AQ71" s="73">
        <v>4.9512670565302175E-2</v>
      </c>
      <c r="AR71" s="73">
        <v>-0.11925175370226038</v>
      </c>
      <c r="AS71" s="73">
        <v>-8.6025690930323084E-2</v>
      </c>
      <c r="AT71" s="72">
        <v>-9.3926820067898875E-2</v>
      </c>
      <c r="AU71" s="24">
        <v>-9.3926820067898875E-2</v>
      </c>
      <c r="AV71" s="73">
        <v>-9.7325408618127773E-2</v>
      </c>
      <c r="AW71" s="73">
        <v>6.6371681415929196E-2</v>
      </c>
      <c r="AX71" s="73">
        <v>5.4088586030664354E-2</v>
      </c>
      <c r="AY71" s="72">
        <v>5.1207327227310584E-2</v>
      </c>
      <c r="AZ71" s="24">
        <v>5.1207327227310584E-2</v>
      </c>
      <c r="BA71" s="73">
        <v>4.7736625514403386E-2</v>
      </c>
      <c r="BB71" s="73">
        <v>7.9253112033194961E-2</v>
      </c>
      <c r="BC71" s="73">
        <v>-0.11717171717171715</v>
      </c>
      <c r="BD71" s="72">
        <v>-0.12673267326732673</v>
      </c>
      <c r="BE71" s="24">
        <v>-0.12673267326732673</v>
      </c>
    </row>
    <row r="72" spans="1:202">
      <c r="A72" s="71" t="s">
        <v>214</v>
      </c>
      <c r="B72" s="24"/>
      <c r="C72" s="73"/>
      <c r="D72" s="73"/>
      <c r="E72" s="73"/>
      <c r="F72" s="73"/>
      <c r="G72" s="24"/>
      <c r="H72" s="73"/>
      <c r="I72" s="73"/>
      <c r="J72" s="73"/>
      <c r="K72" s="72"/>
      <c r="L72" s="24"/>
      <c r="M72" s="73"/>
      <c r="N72" s="73"/>
      <c r="O72" s="73"/>
      <c r="P72" s="72"/>
      <c r="Q72" s="200">
        <v>91</v>
      </c>
      <c r="R72" s="73"/>
      <c r="S72" s="73"/>
      <c r="T72" s="73"/>
      <c r="U72" s="72"/>
      <c r="V72" s="200">
        <v>-10</v>
      </c>
      <c r="W72" s="73"/>
      <c r="X72" s="73"/>
      <c r="Y72" s="73"/>
      <c r="Z72" s="72"/>
      <c r="AA72" s="200">
        <v>-47</v>
      </c>
      <c r="AB72" s="73"/>
      <c r="AC72" s="73"/>
      <c r="AD72" s="73"/>
      <c r="AE72" s="72"/>
      <c r="AF72" s="200">
        <v>-158</v>
      </c>
      <c r="AG72" s="73"/>
      <c r="AH72" s="73"/>
      <c r="AI72" s="73"/>
      <c r="AJ72" s="72"/>
      <c r="AK72" s="200">
        <v>-56</v>
      </c>
      <c r="AL72" s="73"/>
      <c r="AM72" s="197">
        <v>1</v>
      </c>
      <c r="AN72" s="197">
        <v>3</v>
      </c>
      <c r="AO72" s="197">
        <v>82</v>
      </c>
      <c r="AP72" s="200">
        <v>65</v>
      </c>
      <c r="AQ72" s="199">
        <v>41</v>
      </c>
      <c r="AR72" s="199">
        <v>-432</v>
      </c>
      <c r="AS72" s="199">
        <v>88</v>
      </c>
      <c r="AT72" s="199">
        <v>54</v>
      </c>
      <c r="AU72" s="200">
        <v>-249</v>
      </c>
      <c r="AV72" s="199">
        <v>28</v>
      </c>
      <c r="AW72" s="199">
        <v>-20</v>
      </c>
      <c r="AX72" s="199">
        <v>65</v>
      </c>
      <c r="AY72" s="199">
        <v>50</v>
      </c>
      <c r="AZ72" s="200">
        <v>123</v>
      </c>
      <c r="BA72" s="199">
        <v>21</v>
      </c>
      <c r="BB72" s="199">
        <v>55</v>
      </c>
      <c r="BC72" s="199">
        <v>-416</v>
      </c>
      <c r="BD72" s="199">
        <v>20</v>
      </c>
      <c r="BE72" s="200">
        <v>-320</v>
      </c>
    </row>
    <row r="73" spans="1:202" ht="4.2" customHeight="1">
      <c r="A73" s="71"/>
      <c r="B73" s="24"/>
      <c r="C73" s="73"/>
      <c r="D73" s="73"/>
      <c r="E73" s="73"/>
      <c r="F73" s="73"/>
      <c r="G73" s="24"/>
      <c r="H73" s="73"/>
      <c r="I73" s="73"/>
      <c r="J73" s="73"/>
      <c r="K73" s="72"/>
      <c r="L73" s="24"/>
      <c r="M73" s="73"/>
      <c r="N73" s="73"/>
      <c r="O73" s="73"/>
      <c r="P73" s="72"/>
      <c r="Q73" s="24"/>
      <c r="R73" s="73"/>
      <c r="S73" s="73"/>
      <c r="T73" s="73"/>
      <c r="U73" s="72"/>
      <c r="V73" s="24"/>
      <c r="W73" s="73"/>
      <c r="X73" s="73"/>
      <c r="Y73" s="73"/>
      <c r="Z73" s="72"/>
      <c r="AA73" s="24"/>
      <c r="AB73" s="73"/>
      <c r="AC73" s="73"/>
      <c r="AD73" s="73"/>
      <c r="AE73" s="72"/>
      <c r="AF73" s="24"/>
      <c r="AG73" s="73"/>
      <c r="AH73" s="73"/>
      <c r="AI73" s="73"/>
      <c r="AJ73" s="72"/>
      <c r="AK73" s="24"/>
      <c r="AL73" s="73"/>
      <c r="AM73" s="197"/>
      <c r="AN73" s="197"/>
      <c r="AO73" s="197"/>
      <c r="AP73" s="198"/>
      <c r="AQ73" s="199"/>
      <c r="AR73" s="199"/>
      <c r="AS73" s="199"/>
      <c r="AT73" s="199"/>
      <c r="AU73" s="200"/>
      <c r="AV73" s="199"/>
      <c r="AW73" s="199"/>
      <c r="AX73" s="199"/>
      <c r="AY73" s="199"/>
      <c r="AZ73" s="200"/>
      <c r="BA73" s="199"/>
      <c r="BB73" s="199"/>
      <c r="BC73" s="199"/>
      <c r="BD73" s="199"/>
      <c r="BE73" s="200"/>
    </row>
    <row r="74" spans="1:202">
      <c r="A74" s="69" t="s">
        <v>267</v>
      </c>
      <c r="B74" s="102" t="s">
        <v>44</v>
      </c>
      <c r="C74" s="80" t="s">
        <v>52</v>
      </c>
      <c r="D74" s="80" t="s">
        <v>52</v>
      </c>
      <c r="E74" s="80" t="s">
        <v>52</v>
      </c>
      <c r="F74" s="80" t="s">
        <v>52</v>
      </c>
      <c r="G74" s="102" t="s">
        <v>44</v>
      </c>
      <c r="H74" s="80" t="s">
        <v>52</v>
      </c>
      <c r="I74" s="80" t="s">
        <v>52</v>
      </c>
      <c r="J74" s="80" t="s">
        <v>52</v>
      </c>
      <c r="K74" s="80" t="s">
        <v>52</v>
      </c>
      <c r="L74" s="102" t="s">
        <v>44</v>
      </c>
      <c r="M74" s="80" t="s">
        <v>52</v>
      </c>
      <c r="N74" s="80" t="s">
        <v>52</v>
      </c>
      <c r="O74" s="80" t="s">
        <v>52</v>
      </c>
      <c r="P74" s="80" t="s">
        <v>52</v>
      </c>
      <c r="Q74" s="102" t="s">
        <v>44</v>
      </c>
      <c r="R74" s="80" t="s">
        <v>52</v>
      </c>
      <c r="S74" s="80" t="s">
        <v>52</v>
      </c>
      <c r="T74" s="80" t="s">
        <v>52</v>
      </c>
      <c r="U74" s="80" t="s">
        <v>52</v>
      </c>
      <c r="V74" s="102" t="s">
        <v>44</v>
      </c>
      <c r="W74" s="80" t="s">
        <v>52</v>
      </c>
      <c r="X74" s="80" t="s">
        <v>52</v>
      </c>
      <c r="Y74" s="80" t="s">
        <v>52</v>
      </c>
      <c r="Z74" s="80" t="s">
        <v>52</v>
      </c>
      <c r="AA74" s="102" t="s">
        <v>44</v>
      </c>
      <c r="AB74" s="80" t="s">
        <v>52</v>
      </c>
      <c r="AC74" s="80" t="s">
        <v>52</v>
      </c>
      <c r="AD74" s="80" t="s">
        <v>52</v>
      </c>
      <c r="AE74" s="80" t="s">
        <v>52</v>
      </c>
      <c r="AF74" s="102" t="s">
        <v>44</v>
      </c>
      <c r="AG74" s="80" t="s">
        <v>52</v>
      </c>
      <c r="AH74" s="80" t="s">
        <v>52</v>
      </c>
      <c r="AI74" s="80" t="s">
        <v>52</v>
      </c>
      <c r="AJ74" s="70">
        <v>1750</v>
      </c>
      <c r="AK74" s="91">
        <v>1750</v>
      </c>
      <c r="AL74" s="80" t="s">
        <v>52</v>
      </c>
      <c r="AM74" s="80" t="s">
        <v>52</v>
      </c>
      <c r="AN74" s="80" t="s">
        <v>52</v>
      </c>
      <c r="AO74" s="70">
        <v>1726</v>
      </c>
      <c r="AP74" s="91">
        <v>1726</v>
      </c>
      <c r="AQ74" s="80" t="s">
        <v>52</v>
      </c>
      <c r="AR74" s="80" t="s">
        <v>52</v>
      </c>
      <c r="AS74" s="80" t="s">
        <v>52</v>
      </c>
      <c r="AT74" s="70">
        <v>1669</v>
      </c>
      <c r="AU74" s="91">
        <v>1669</v>
      </c>
      <c r="AV74" s="70">
        <v>1659</v>
      </c>
      <c r="AW74" s="70">
        <v>1663</v>
      </c>
      <c r="AX74" s="70">
        <v>1697</v>
      </c>
      <c r="AY74" s="70">
        <v>1729</v>
      </c>
      <c r="AZ74" s="91">
        <v>1729</v>
      </c>
      <c r="BA74" s="70">
        <v>1760</v>
      </c>
      <c r="BB74" s="70">
        <v>1800</v>
      </c>
      <c r="BC74" s="70">
        <v>1817</v>
      </c>
      <c r="BD74" s="70">
        <v>1831</v>
      </c>
      <c r="BE74" s="91">
        <v>1831</v>
      </c>
    </row>
    <row r="75" spans="1:202">
      <c r="A75" s="71" t="s">
        <v>7</v>
      </c>
      <c r="B75" s="24"/>
      <c r="C75" s="73"/>
      <c r="D75" s="73"/>
      <c r="E75" s="73"/>
      <c r="F75" s="73"/>
      <c r="G75" s="24"/>
      <c r="H75" s="73"/>
      <c r="I75" s="73"/>
      <c r="J75" s="73"/>
      <c r="K75" s="72"/>
      <c r="L75" s="24"/>
      <c r="M75" s="73"/>
      <c r="N75" s="73"/>
      <c r="O75" s="73"/>
      <c r="P75" s="72"/>
      <c r="Q75" s="24"/>
      <c r="R75" s="73"/>
      <c r="S75" s="73"/>
      <c r="T75" s="73"/>
      <c r="U75" s="72"/>
      <c r="V75" s="24"/>
      <c r="W75" s="73"/>
      <c r="X75" s="73"/>
      <c r="Y75" s="73"/>
      <c r="Z75" s="72"/>
      <c r="AA75" s="24"/>
      <c r="AB75" s="73"/>
      <c r="AC75" s="73"/>
      <c r="AD75" s="73"/>
      <c r="AE75" s="72"/>
      <c r="AF75" s="24"/>
      <c r="AG75" s="73"/>
      <c r="AH75" s="73"/>
      <c r="AI75" s="73"/>
      <c r="AJ75" s="72"/>
      <c r="AK75" s="24"/>
      <c r="AL75" s="72"/>
      <c r="AM75" s="72"/>
      <c r="AN75" s="72"/>
      <c r="AO75" s="72"/>
      <c r="AP75" s="24"/>
      <c r="AQ75" s="73"/>
      <c r="AR75" s="73"/>
      <c r="AS75" s="73"/>
      <c r="AT75" s="72"/>
      <c r="AU75" s="24"/>
      <c r="AV75" s="72">
        <v>-5.9916117435589999E-3</v>
      </c>
      <c r="AW75" s="72">
        <v>2.4110910186858625E-3</v>
      </c>
      <c r="AX75" s="72">
        <v>2.0444978953698234E-2</v>
      </c>
      <c r="AY75" s="72">
        <v>1.8856806128461967E-2</v>
      </c>
      <c r="AZ75" s="24"/>
      <c r="BA75" s="72">
        <v>1.7929438982070556E-2</v>
      </c>
      <c r="BB75" s="72">
        <v>2.2727272727272707E-2</v>
      </c>
      <c r="BC75" s="72">
        <v>9.4444444444443665E-3</v>
      </c>
      <c r="BD75" s="72">
        <v>7.7050082553660193E-3</v>
      </c>
      <c r="BE75" s="24"/>
    </row>
    <row r="76" spans="1:202">
      <c r="A76" s="71" t="s">
        <v>8</v>
      </c>
      <c r="B76" s="24"/>
      <c r="C76" s="73"/>
      <c r="D76" s="73"/>
      <c r="E76" s="73"/>
      <c r="F76" s="73"/>
      <c r="G76" s="24"/>
      <c r="H76" s="73"/>
      <c r="I76" s="73"/>
      <c r="J76" s="73"/>
      <c r="K76" s="72"/>
      <c r="L76" s="24"/>
      <c r="M76" s="73"/>
      <c r="N76" s="73"/>
      <c r="O76" s="73"/>
      <c r="P76" s="72"/>
      <c r="Q76" s="24"/>
      <c r="R76" s="73"/>
      <c r="S76" s="73"/>
      <c r="T76" s="73"/>
      <c r="U76" s="72"/>
      <c r="V76" s="24"/>
      <c r="W76" s="73"/>
      <c r="X76" s="73"/>
      <c r="Y76" s="73"/>
      <c r="Z76" s="72"/>
      <c r="AA76" s="24"/>
      <c r="AB76" s="73"/>
      <c r="AC76" s="73"/>
      <c r="AD76" s="73"/>
      <c r="AE76" s="72"/>
      <c r="AF76" s="24"/>
      <c r="AG76" s="73"/>
      <c r="AH76" s="73"/>
      <c r="AI76" s="73"/>
      <c r="AJ76" s="72"/>
      <c r="AK76" s="24"/>
      <c r="AL76" s="73"/>
      <c r="AM76" s="73"/>
      <c r="AN76" s="73"/>
      <c r="AO76" s="72">
        <v>-1.3714285714285679E-2</v>
      </c>
      <c r="AP76" s="24">
        <v>-1.3714285714285679E-2</v>
      </c>
      <c r="AQ76" s="73"/>
      <c r="AR76" s="73"/>
      <c r="AS76" s="73"/>
      <c r="AT76" s="72">
        <v>-3.3024333719582799E-2</v>
      </c>
      <c r="AU76" s="24">
        <v>-3.3024333719582799E-2</v>
      </c>
      <c r="AV76" s="73"/>
      <c r="AW76" s="73"/>
      <c r="AX76" s="73"/>
      <c r="AY76" s="72">
        <v>3.5949670461354E-2</v>
      </c>
      <c r="AZ76" s="24"/>
      <c r="BA76" s="73">
        <v>6.088004822182036E-2</v>
      </c>
      <c r="BB76" s="73">
        <v>8.2381238725195427E-2</v>
      </c>
      <c r="BC76" s="73">
        <v>7.0713022981732543E-2</v>
      </c>
      <c r="BD76" s="72">
        <v>5.8993637941006316E-2</v>
      </c>
      <c r="BE76" s="24"/>
    </row>
    <row r="77" spans="1:202">
      <c r="A77" s="71" t="s">
        <v>214</v>
      </c>
      <c r="B77" s="24"/>
      <c r="C77" s="73"/>
      <c r="D77" s="73"/>
      <c r="E77" s="73"/>
      <c r="F77" s="73"/>
      <c r="G77" s="24"/>
      <c r="H77" s="73"/>
      <c r="I77" s="73"/>
      <c r="J77" s="73"/>
      <c r="K77" s="72"/>
      <c r="L77" s="24"/>
      <c r="M77" s="73"/>
      <c r="N77" s="73"/>
      <c r="O77" s="73"/>
      <c r="P77" s="72"/>
      <c r="Q77" s="24"/>
      <c r="R77" s="73"/>
      <c r="S77" s="73"/>
      <c r="T77" s="73"/>
      <c r="U77" s="72"/>
      <c r="V77" s="24"/>
      <c r="W77" s="73"/>
      <c r="X77" s="73"/>
      <c r="Y77" s="73"/>
      <c r="Z77" s="72"/>
      <c r="AA77" s="24"/>
      <c r="AB77" s="73"/>
      <c r="AC77" s="73"/>
      <c r="AD77" s="73"/>
      <c r="AE77" s="72"/>
      <c r="AF77" s="24"/>
      <c r="AG77" s="73"/>
      <c r="AH77" s="73"/>
      <c r="AI77" s="73"/>
      <c r="AJ77" s="72"/>
      <c r="AK77" s="200"/>
      <c r="AL77" s="73"/>
      <c r="AM77" s="197"/>
      <c r="AN77" s="197"/>
      <c r="AO77" s="197"/>
      <c r="AP77" s="200">
        <v>-24</v>
      </c>
      <c r="AQ77" s="199"/>
      <c r="AR77" s="199"/>
      <c r="AS77" s="199"/>
      <c r="AT77" s="199"/>
      <c r="AU77" s="200">
        <v>-57</v>
      </c>
      <c r="AV77" s="199">
        <v>-10</v>
      </c>
      <c r="AW77" s="199">
        <v>4</v>
      </c>
      <c r="AX77" s="199">
        <v>34</v>
      </c>
      <c r="AY77" s="199">
        <v>32</v>
      </c>
      <c r="AZ77" s="200">
        <v>60</v>
      </c>
      <c r="BA77" s="199">
        <v>31</v>
      </c>
      <c r="BB77" s="199">
        <v>40</v>
      </c>
      <c r="BC77" s="199">
        <v>17</v>
      </c>
      <c r="BD77" s="199">
        <v>14</v>
      </c>
      <c r="BE77" s="200">
        <v>102</v>
      </c>
    </row>
    <row r="78" spans="1:202" ht="8.4" customHeight="1">
      <c r="A78" s="71"/>
      <c r="B78" s="24"/>
      <c r="C78" s="73"/>
      <c r="D78" s="73"/>
      <c r="E78" s="73"/>
      <c r="F78" s="73"/>
      <c r="G78" s="24"/>
      <c r="H78" s="73"/>
      <c r="I78" s="73"/>
      <c r="J78" s="73"/>
      <c r="K78" s="72"/>
      <c r="L78" s="24"/>
      <c r="M78" s="73"/>
      <c r="N78" s="73"/>
      <c r="O78" s="73"/>
      <c r="P78" s="72"/>
      <c r="Q78" s="24"/>
      <c r="R78" s="73"/>
      <c r="S78" s="73"/>
      <c r="T78" s="73"/>
      <c r="U78" s="72"/>
      <c r="V78" s="24"/>
      <c r="W78" s="73"/>
      <c r="X78" s="73"/>
      <c r="Y78" s="73"/>
      <c r="Z78" s="72"/>
      <c r="AA78" s="24"/>
      <c r="AB78" s="73"/>
      <c r="AC78" s="73"/>
      <c r="AD78" s="73"/>
      <c r="AE78" s="72"/>
      <c r="AF78" s="24"/>
      <c r="AG78" s="73"/>
      <c r="AH78" s="73"/>
      <c r="AI78" s="73"/>
      <c r="AJ78" s="72"/>
      <c r="AK78" s="24"/>
      <c r="AL78" s="73"/>
      <c r="AM78" s="197"/>
      <c r="AN78" s="197"/>
      <c r="AO78" s="197"/>
      <c r="AP78" s="24"/>
      <c r="AQ78" s="199"/>
      <c r="AR78" s="199"/>
      <c r="AS78" s="199"/>
      <c r="AT78" s="199"/>
      <c r="AU78" s="200"/>
      <c r="AV78" s="199"/>
      <c r="AW78" s="199"/>
      <c r="AX78" s="199"/>
      <c r="AY78" s="199"/>
      <c r="AZ78" s="24"/>
      <c r="BA78" s="199"/>
      <c r="BB78" s="199"/>
      <c r="BC78" s="199"/>
      <c r="BD78" s="199"/>
      <c r="BE78" s="24"/>
    </row>
    <row r="79" spans="1:202">
      <c r="A79" s="69" t="s">
        <v>150</v>
      </c>
      <c r="B79" s="102" t="s">
        <v>44</v>
      </c>
      <c r="C79" s="80" t="s">
        <v>52</v>
      </c>
      <c r="D79" s="80" t="s">
        <v>52</v>
      </c>
      <c r="E79" s="80" t="s">
        <v>52</v>
      </c>
      <c r="F79" s="80" t="s">
        <v>52</v>
      </c>
      <c r="G79" s="102" t="s">
        <v>44</v>
      </c>
      <c r="H79" s="80" t="s">
        <v>52</v>
      </c>
      <c r="I79" s="80" t="s">
        <v>52</v>
      </c>
      <c r="J79" s="80" t="s">
        <v>52</v>
      </c>
      <c r="K79" s="80" t="s">
        <v>52</v>
      </c>
      <c r="L79" s="102" t="s">
        <v>44</v>
      </c>
      <c r="M79" s="80" t="s">
        <v>52</v>
      </c>
      <c r="N79" s="80" t="s">
        <v>52</v>
      </c>
      <c r="O79" s="80" t="s">
        <v>52</v>
      </c>
      <c r="P79" s="80" t="s">
        <v>52</v>
      </c>
      <c r="Q79" s="102" t="s">
        <v>44</v>
      </c>
      <c r="R79" s="80" t="s">
        <v>52</v>
      </c>
      <c r="S79" s="80" t="s">
        <v>52</v>
      </c>
      <c r="T79" s="80" t="s">
        <v>52</v>
      </c>
      <c r="U79" s="80" t="s">
        <v>52</v>
      </c>
      <c r="V79" s="102" t="s">
        <v>44</v>
      </c>
      <c r="W79" s="80" t="s">
        <v>52</v>
      </c>
      <c r="X79" s="80" t="s">
        <v>52</v>
      </c>
      <c r="Y79" s="80" t="s">
        <v>52</v>
      </c>
      <c r="Z79" s="80" t="s">
        <v>52</v>
      </c>
      <c r="AA79" s="102" t="s">
        <v>44</v>
      </c>
      <c r="AB79" s="80" t="s">
        <v>52</v>
      </c>
      <c r="AC79" s="80" t="s">
        <v>52</v>
      </c>
      <c r="AD79" s="80" t="s">
        <v>52</v>
      </c>
      <c r="AE79" s="80" t="s">
        <v>52</v>
      </c>
      <c r="AF79" s="102" t="s">
        <v>44</v>
      </c>
      <c r="AG79" s="80" t="s">
        <v>52</v>
      </c>
      <c r="AH79" s="80" t="s">
        <v>52</v>
      </c>
      <c r="AI79" s="80" t="s">
        <v>52</v>
      </c>
      <c r="AJ79" s="70">
        <v>836</v>
      </c>
      <c r="AK79" s="91">
        <v>836</v>
      </c>
      <c r="AL79" s="80" t="s">
        <v>52</v>
      </c>
      <c r="AM79" s="80" t="s">
        <v>52</v>
      </c>
      <c r="AN79" s="80" t="s">
        <v>52</v>
      </c>
      <c r="AO79" s="70">
        <v>925</v>
      </c>
      <c r="AP79" s="91">
        <v>925</v>
      </c>
      <c r="AQ79" s="80" t="s">
        <v>52</v>
      </c>
      <c r="AR79" s="80" t="s">
        <v>52</v>
      </c>
      <c r="AS79" s="80" t="s">
        <v>52</v>
      </c>
      <c r="AT79" s="70">
        <v>733</v>
      </c>
      <c r="AU79" s="91">
        <v>733</v>
      </c>
      <c r="AV79" s="70">
        <v>771</v>
      </c>
      <c r="AW79" s="70">
        <v>747</v>
      </c>
      <c r="AX79" s="70">
        <v>778</v>
      </c>
      <c r="AY79" s="70">
        <v>796</v>
      </c>
      <c r="AZ79" s="91">
        <v>796</v>
      </c>
      <c r="BA79" s="70">
        <v>786</v>
      </c>
      <c r="BB79" s="70">
        <v>801</v>
      </c>
      <c r="BC79" s="70">
        <v>368</v>
      </c>
      <c r="BD79" s="70">
        <v>374</v>
      </c>
      <c r="BE79" s="91">
        <v>374</v>
      </c>
    </row>
    <row r="80" spans="1:202">
      <c r="A80" s="71" t="s">
        <v>7</v>
      </c>
      <c r="B80" s="24"/>
      <c r="C80" s="73"/>
      <c r="D80" s="73"/>
      <c r="E80" s="73"/>
      <c r="F80" s="73"/>
      <c r="G80" s="24"/>
      <c r="H80" s="73"/>
      <c r="I80" s="73"/>
      <c r="J80" s="73"/>
      <c r="K80" s="72"/>
      <c r="L80" s="24"/>
      <c r="M80" s="73"/>
      <c r="N80" s="73"/>
      <c r="O80" s="73"/>
      <c r="P80" s="72"/>
      <c r="Q80" s="24"/>
      <c r="R80" s="73"/>
      <c r="S80" s="73"/>
      <c r="T80" s="73"/>
      <c r="U80" s="72"/>
      <c r="V80" s="24"/>
      <c r="W80" s="73"/>
      <c r="X80" s="73"/>
      <c r="Y80" s="73"/>
      <c r="Z80" s="72"/>
      <c r="AA80" s="24"/>
      <c r="AB80" s="73"/>
      <c r="AC80" s="73"/>
      <c r="AD80" s="73"/>
      <c r="AE80" s="72"/>
      <c r="AF80" s="24"/>
      <c r="AG80" s="73"/>
      <c r="AH80" s="73"/>
      <c r="AI80" s="73"/>
      <c r="AJ80" s="72"/>
      <c r="AK80" s="24"/>
      <c r="AL80" s="73"/>
      <c r="AM80" s="73"/>
      <c r="AN80" s="73"/>
      <c r="AO80" s="72"/>
      <c r="AP80" s="24"/>
      <c r="AQ80" s="72"/>
      <c r="AR80" s="72"/>
      <c r="AS80" s="72"/>
      <c r="AT80" s="72"/>
      <c r="AU80" s="24"/>
      <c r="AV80" s="72">
        <v>5.184174624829474E-2</v>
      </c>
      <c r="AW80" s="72">
        <v>-3.1128404669260701E-2</v>
      </c>
      <c r="AX80" s="72">
        <v>4.1499330655957234E-2</v>
      </c>
      <c r="AY80" s="72">
        <v>2.3136246786632286E-2</v>
      </c>
      <c r="AZ80" s="24"/>
      <c r="BA80" s="72">
        <v>-1.2562814070351758E-2</v>
      </c>
      <c r="BB80" s="72">
        <v>1.9083969465648831E-2</v>
      </c>
      <c r="BC80" s="73">
        <v>-0.54057428214731584</v>
      </c>
      <c r="BD80" s="72">
        <v>1.6304347826086918E-2</v>
      </c>
      <c r="BE80" s="24"/>
    </row>
    <row r="81" spans="1:202">
      <c r="A81" s="71" t="s">
        <v>8</v>
      </c>
      <c r="B81" s="24"/>
      <c r="C81" s="73"/>
      <c r="D81" s="73"/>
      <c r="E81" s="73"/>
      <c r="F81" s="73"/>
      <c r="G81" s="24"/>
      <c r="H81" s="73"/>
      <c r="I81" s="73"/>
      <c r="J81" s="73"/>
      <c r="K81" s="72"/>
      <c r="L81" s="24"/>
      <c r="M81" s="73"/>
      <c r="N81" s="73"/>
      <c r="O81" s="73"/>
      <c r="P81" s="72"/>
      <c r="Q81" s="28"/>
      <c r="R81" s="73"/>
      <c r="S81" s="73"/>
      <c r="T81" s="73"/>
      <c r="U81" s="72"/>
      <c r="V81" s="24"/>
      <c r="W81" s="73"/>
      <c r="X81" s="73"/>
      <c r="Y81" s="73"/>
      <c r="Z81" s="72"/>
      <c r="AA81" s="24"/>
      <c r="AB81" s="73"/>
      <c r="AC81" s="73"/>
      <c r="AD81" s="73"/>
      <c r="AE81" s="72"/>
      <c r="AF81" s="24"/>
      <c r="AG81" s="73"/>
      <c r="AH81" s="73"/>
      <c r="AI81" s="73"/>
      <c r="AJ81" s="72"/>
      <c r="AK81" s="24"/>
      <c r="AL81" s="73"/>
      <c r="AM81" s="73"/>
      <c r="AN81" s="73"/>
      <c r="AO81" s="72"/>
      <c r="AP81" s="24">
        <v>0.10645933014354059</v>
      </c>
      <c r="AQ81" s="73"/>
      <c r="AR81" s="73"/>
      <c r="AS81" s="73"/>
      <c r="AT81" s="72">
        <v>-0.20756756756756756</v>
      </c>
      <c r="AU81" s="24">
        <v>-0.20756756756756756</v>
      </c>
      <c r="AV81" s="73"/>
      <c r="AW81" s="73"/>
      <c r="AX81" s="73"/>
      <c r="AY81" s="72">
        <v>8.5948158253751794E-2</v>
      </c>
      <c r="AZ81" s="24">
        <v>8.5948158253751794E-2</v>
      </c>
      <c r="BA81" s="73">
        <v>1.9455252918287869E-2</v>
      </c>
      <c r="BB81" s="73">
        <v>7.2289156626506035E-2</v>
      </c>
      <c r="BC81" s="73">
        <v>-0.52699228791773778</v>
      </c>
      <c r="BD81" s="72">
        <v>-0.53015075376884424</v>
      </c>
      <c r="BE81" s="24">
        <v>-0.53015075376884424</v>
      </c>
    </row>
    <row r="82" spans="1:202">
      <c r="A82" s="71" t="s">
        <v>214</v>
      </c>
      <c r="B82" s="24"/>
      <c r="C82" s="73"/>
      <c r="D82" s="73"/>
      <c r="E82" s="73"/>
      <c r="F82" s="73"/>
      <c r="G82" s="24"/>
      <c r="H82" s="73"/>
      <c r="I82" s="73"/>
      <c r="J82" s="73"/>
      <c r="K82" s="72"/>
      <c r="L82" s="24"/>
      <c r="M82" s="73"/>
      <c r="N82" s="73"/>
      <c r="O82" s="73"/>
      <c r="P82" s="72"/>
      <c r="Q82" s="24"/>
      <c r="R82" s="73"/>
      <c r="S82" s="73"/>
      <c r="T82" s="73"/>
      <c r="U82" s="72"/>
      <c r="V82" s="24"/>
      <c r="W82" s="73"/>
      <c r="X82" s="73"/>
      <c r="Y82" s="73"/>
      <c r="Z82" s="72"/>
      <c r="AA82" s="24"/>
      <c r="AB82" s="73"/>
      <c r="AC82" s="73"/>
      <c r="AD82" s="73"/>
      <c r="AE82" s="72"/>
      <c r="AF82" s="24"/>
      <c r="AG82" s="73"/>
      <c r="AH82" s="73"/>
      <c r="AI82" s="73"/>
      <c r="AJ82" s="72"/>
      <c r="AK82" s="24"/>
      <c r="AL82" s="73"/>
      <c r="AM82" s="73"/>
      <c r="AN82" s="73"/>
      <c r="AO82" s="199"/>
      <c r="AP82" s="200">
        <v>89</v>
      </c>
      <c r="AQ82" s="199"/>
      <c r="AR82" s="199"/>
      <c r="AS82" s="199"/>
      <c r="AT82" s="199"/>
      <c r="AU82" s="200">
        <v>-192</v>
      </c>
      <c r="AV82" s="199">
        <v>38</v>
      </c>
      <c r="AW82" s="199">
        <v>-24</v>
      </c>
      <c r="AX82" s="199">
        <v>31</v>
      </c>
      <c r="AY82" s="199">
        <v>18</v>
      </c>
      <c r="AZ82" s="200">
        <v>63</v>
      </c>
      <c r="BA82" s="199">
        <v>-10</v>
      </c>
      <c r="BB82" s="199">
        <v>15</v>
      </c>
      <c r="BC82" s="199">
        <v>-433</v>
      </c>
      <c r="BD82" s="199">
        <v>6</v>
      </c>
      <c r="BE82" s="200">
        <v>-422</v>
      </c>
    </row>
    <row r="83" spans="1:202" ht="6.6" customHeight="1">
      <c r="A83" s="71"/>
      <c r="B83" s="24"/>
      <c r="C83" s="73"/>
      <c r="D83" s="73"/>
      <c r="E83" s="73"/>
      <c r="F83" s="73"/>
      <c r="G83" s="24"/>
      <c r="H83" s="73"/>
      <c r="I83" s="73"/>
      <c r="J83" s="73"/>
      <c r="K83" s="72"/>
      <c r="L83" s="24"/>
      <c r="M83" s="73"/>
      <c r="N83" s="73"/>
      <c r="O83" s="73"/>
      <c r="P83" s="72"/>
      <c r="Q83" s="24"/>
      <c r="R83" s="73"/>
      <c r="S83" s="73"/>
      <c r="T83" s="73"/>
      <c r="U83" s="72"/>
      <c r="V83" s="24"/>
      <c r="W83" s="73"/>
      <c r="X83" s="73"/>
      <c r="Y83" s="73"/>
      <c r="Z83" s="72"/>
      <c r="AA83" s="24"/>
      <c r="AB83" s="73"/>
      <c r="AC83" s="73"/>
      <c r="AD83" s="73"/>
      <c r="AE83" s="72"/>
      <c r="AF83" s="24"/>
      <c r="AG83" s="73"/>
      <c r="AH83" s="73"/>
      <c r="AI83" s="73"/>
      <c r="AJ83" s="72"/>
      <c r="AK83" s="24"/>
      <c r="AL83" s="73"/>
      <c r="AM83" s="73"/>
      <c r="AN83" s="73"/>
      <c r="AO83" s="199"/>
      <c r="AP83" s="200"/>
      <c r="AQ83" s="199"/>
      <c r="AR83" s="199"/>
      <c r="AS83" s="199"/>
      <c r="AT83" s="199"/>
      <c r="AU83" s="200"/>
      <c r="AV83" s="199"/>
      <c r="AW83" s="199"/>
      <c r="AX83" s="199"/>
      <c r="AY83" s="199"/>
      <c r="AZ83" s="200"/>
      <c r="BA83" s="199"/>
      <c r="BB83" s="199"/>
      <c r="BC83" s="199"/>
      <c r="BD83" s="199"/>
      <c r="BE83" s="200"/>
    </row>
    <row r="84" spans="1:202">
      <c r="A84" s="69" t="s">
        <v>75</v>
      </c>
      <c r="B84" s="102" t="s">
        <v>52</v>
      </c>
      <c r="C84" s="80" t="s">
        <v>52</v>
      </c>
      <c r="D84" s="80" t="s">
        <v>52</v>
      </c>
      <c r="E84" s="80" t="s">
        <v>52</v>
      </c>
      <c r="F84" s="80" t="s">
        <v>52</v>
      </c>
      <c r="G84" s="102" t="s">
        <v>52</v>
      </c>
      <c r="H84" s="80" t="s">
        <v>52</v>
      </c>
      <c r="I84" s="80" t="s">
        <v>52</v>
      </c>
      <c r="J84" s="80" t="s">
        <v>52</v>
      </c>
      <c r="K84" s="80" t="s">
        <v>52</v>
      </c>
      <c r="L84" s="102" t="s">
        <v>52</v>
      </c>
      <c r="M84" s="69">
        <v>110</v>
      </c>
      <c r="N84" s="69">
        <v>111</v>
      </c>
      <c r="O84" s="69">
        <v>113</v>
      </c>
      <c r="P84" s="70">
        <v>109</v>
      </c>
      <c r="Q84" s="28">
        <v>111</v>
      </c>
      <c r="R84" s="69">
        <v>110</v>
      </c>
      <c r="S84" s="69">
        <v>109</v>
      </c>
      <c r="T84" s="69">
        <v>107</v>
      </c>
      <c r="U84" s="70">
        <v>100</v>
      </c>
      <c r="V84" s="28">
        <v>107</v>
      </c>
      <c r="W84" s="69">
        <v>97</v>
      </c>
      <c r="X84" s="69">
        <v>99</v>
      </c>
      <c r="Y84" s="69">
        <v>95</v>
      </c>
      <c r="Z84" s="70">
        <v>89</v>
      </c>
      <c r="AA84" s="28">
        <v>95</v>
      </c>
      <c r="AB84" s="69">
        <v>86</v>
      </c>
      <c r="AC84" s="69">
        <v>85</v>
      </c>
      <c r="AD84" s="69">
        <v>88</v>
      </c>
      <c r="AE84" s="70">
        <v>86</v>
      </c>
      <c r="AF84" s="28">
        <v>86</v>
      </c>
      <c r="AG84" s="69">
        <v>80</v>
      </c>
      <c r="AH84" s="69">
        <v>79</v>
      </c>
      <c r="AI84" s="69">
        <v>78</v>
      </c>
      <c r="AJ84" s="70">
        <v>75</v>
      </c>
      <c r="AK84" s="28">
        <v>78</v>
      </c>
      <c r="AL84" s="69">
        <v>65</v>
      </c>
      <c r="AM84" s="69">
        <v>65</v>
      </c>
      <c r="AN84" s="69">
        <v>68</v>
      </c>
      <c r="AO84" s="70">
        <v>60</v>
      </c>
      <c r="AP84" s="28">
        <v>64</v>
      </c>
      <c r="AQ84" s="69">
        <v>57</v>
      </c>
      <c r="AR84" s="69">
        <v>68</v>
      </c>
      <c r="AS84" s="69">
        <v>68</v>
      </c>
      <c r="AT84" s="70">
        <v>62</v>
      </c>
      <c r="AU84" s="28">
        <v>63</v>
      </c>
      <c r="AV84" s="69">
        <v>60</v>
      </c>
      <c r="AW84" s="69">
        <v>61</v>
      </c>
      <c r="AX84" s="69">
        <v>63</v>
      </c>
      <c r="AY84" s="70">
        <v>58</v>
      </c>
      <c r="AZ84" s="28">
        <v>61</v>
      </c>
      <c r="BA84" s="69">
        <v>57</v>
      </c>
      <c r="BB84" s="69">
        <v>57</v>
      </c>
      <c r="BC84" s="69">
        <v>68</v>
      </c>
      <c r="BD84" s="70">
        <v>66</v>
      </c>
      <c r="BE84" s="28">
        <v>62</v>
      </c>
    </row>
    <row r="85" spans="1:202">
      <c r="A85" s="71" t="s">
        <v>7</v>
      </c>
      <c r="B85" s="24"/>
      <c r="C85" s="72"/>
      <c r="D85" s="72"/>
      <c r="E85" s="72"/>
      <c r="F85" s="72"/>
      <c r="G85" s="24"/>
      <c r="H85" s="72"/>
      <c r="I85" s="72"/>
      <c r="J85" s="72"/>
      <c r="K85" s="72"/>
      <c r="L85" s="27"/>
      <c r="M85" s="72"/>
      <c r="N85" s="72">
        <f>N84/M84-1</f>
        <v>9.0909090909090384E-3</v>
      </c>
      <c r="O85" s="72">
        <f>O84/N84-1</f>
        <v>1.8018018018018056E-2</v>
      </c>
      <c r="P85" s="72">
        <f>P84/O84-1</f>
        <v>-3.539823008849563E-2</v>
      </c>
      <c r="Q85" s="27"/>
      <c r="R85" s="72">
        <v>9.1743119266054496E-3</v>
      </c>
      <c r="S85" s="72">
        <v>-9.0909090909090384E-3</v>
      </c>
      <c r="T85" s="72">
        <v>-1.834862385321101E-2</v>
      </c>
      <c r="U85" s="72">
        <v>-6.5420560747663559E-2</v>
      </c>
      <c r="V85" s="27"/>
      <c r="W85" s="72">
        <v>-3.0000000000000027E-2</v>
      </c>
      <c r="X85" s="72">
        <v>2.0618556701030855E-2</v>
      </c>
      <c r="Y85" s="72">
        <v>-4.0404040404040442E-2</v>
      </c>
      <c r="Z85" s="72">
        <v>-6.315789473684208E-2</v>
      </c>
      <c r="AA85" s="27"/>
      <c r="AB85" s="72">
        <v>-3.3707865168539297E-2</v>
      </c>
      <c r="AC85" s="72">
        <v>-1.1627906976744207E-2</v>
      </c>
      <c r="AD85" s="72">
        <v>3.529411764705892E-2</v>
      </c>
      <c r="AE85" s="72">
        <v>-2.2727272727272707E-2</v>
      </c>
      <c r="AF85" s="27"/>
      <c r="AG85" s="72">
        <v>-6.9767441860465129E-2</v>
      </c>
      <c r="AH85" s="72">
        <v>-1.2499999999999956E-2</v>
      </c>
      <c r="AI85" s="72">
        <v>-1.2658227848101222E-2</v>
      </c>
      <c r="AJ85" s="72">
        <v>-3.8461538461538436E-2</v>
      </c>
      <c r="AK85" s="27"/>
      <c r="AL85" s="72">
        <v>-0.1333333333333333</v>
      </c>
      <c r="AM85" s="72">
        <v>0</v>
      </c>
      <c r="AN85" s="72">
        <v>4.6153846153846212E-2</v>
      </c>
      <c r="AO85" s="72">
        <v>-0.11764705882352944</v>
      </c>
      <c r="AP85" s="27"/>
      <c r="AQ85" s="72">
        <v>-5.0000000000000044E-2</v>
      </c>
      <c r="AR85" s="72">
        <v>0.19298245614035081</v>
      </c>
      <c r="AS85" s="72">
        <v>0</v>
      </c>
      <c r="AT85" s="72">
        <v>-8.8235294117647078E-2</v>
      </c>
      <c r="AU85" s="27"/>
      <c r="AV85" s="72">
        <v>-3.2258064516129004E-2</v>
      </c>
      <c r="AW85" s="72">
        <v>1.6666666666666607E-2</v>
      </c>
      <c r="AX85" s="72">
        <v>3.2786885245901676E-2</v>
      </c>
      <c r="AY85" s="72">
        <v>-7.9365079365079416E-2</v>
      </c>
      <c r="AZ85" s="27"/>
      <c r="BA85" s="72">
        <v>-1.7241379310344862E-2</v>
      </c>
      <c r="BB85" s="72">
        <v>0</v>
      </c>
      <c r="BC85" s="72">
        <v>0.19298245614035081</v>
      </c>
      <c r="BD85" s="72">
        <v>-2.9411764705882359E-2</v>
      </c>
      <c r="BE85" s="27"/>
    </row>
    <row r="86" spans="1:202">
      <c r="A86" s="71" t="s">
        <v>8</v>
      </c>
      <c r="B86" s="24"/>
      <c r="C86" s="73"/>
      <c r="D86" s="73"/>
      <c r="E86" s="73"/>
      <c r="F86" s="73"/>
      <c r="G86" s="24"/>
      <c r="H86" s="73"/>
      <c r="I86" s="73"/>
      <c r="J86" s="73"/>
      <c r="K86" s="72"/>
      <c r="L86" s="24"/>
      <c r="M86" s="73"/>
      <c r="N86" s="73"/>
      <c r="O86" s="73"/>
      <c r="P86" s="72"/>
      <c r="Q86" s="24"/>
      <c r="R86" s="73">
        <v>0</v>
      </c>
      <c r="S86" s="73">
        <v>-1.8018018018018056E-2</v>
      </c>
      <c r="T86" s="73">
        <v>-5.3097345132743334E-2</v>
      </c>
      <c r="U86" s="72">
        <v>-8.256880733944949E-2</v>
      </c>
      <c r="V86" s="24">
        <v>-3.6036036036036001E-2</v>
      </c>
      <c r="W86" s="73">
        <v>-0.11818181818181817</v>
      </c>
      <c r="X86" s="73">
        <v>-9.1743119266055051E-2</v>
      </c>
      <c r="Y86" s="73">
        <v>-0.11214953271028039</v>
      </c>
      <c r="Z86" s="72">
        <v>-0.10999999999999999</v>
      </c>
      <c r="AA86" s="24">
        <v>-0.11214953271028039</v>
      </c>
      <c r="AB86" s="73">
        <v>-0.11340206185567014</v>
      </c>
      <c r="AC86" s="73">
        <v>-0.14141414141414144</v>
      </c>
      <c r="AD86" s="73">
        <v>-7.3684210526315796E-2</v>
      </c>
      <c r="AE86" s="72">
        <v>-3.3707865168539297E-2</v>
      </c>
      <c r="AF86" s="24">
        <v>-9.4736842105263119E-2</v>
      </c>
      <c r="AG86" s="73">
        <v>-6.9767441860465129E-2</v>
      </c>
      <c r="AH86" s="73">
        <v>-7.0588235294117618E-2</v>
      </c>
      <c r="AI86" s="73">
        <v>-0.11363636363636365</v>
      </c>
      <c r="AJ86" s="72">
        <v>-0.12790697674418605</v>
      </c>
      <c r="AK86" s="24">
        <v>-9.3023255813953543E-2</v>
      </c>
      <c r="AL86" s="73">
        <v>-0.1875</v>
      </c>
      <c r="AM86" s="73">
        <v>-0.17721518987341767</v>
      </c>
      <c r="AN86" s="73">
        <v>-0.12820512820512819</v>
      </c>
      <c r="AO86" s="72">
        <v>-0.19999999999999996</v>
      </c>
      <c r="AP86" s="24">
        <v>-0.17948717948717952</v>
      </c>
      <c r="AQ86" s="73">
        <v>-0.12307692307692308</v>
      </c>
      <c r="AR86" s="73">
        <v>4.6153846153846212E-2</v>
      </c>
      <c r="AS86" s="73">
        <v>0</v>
      </c>
      <c r="AT86" s="72">
        <v>3.3333333333333437E-2</v>
      </c>
      <c r="AU86" s="24">
        <v>-1.5625E-2</v>
      </c>
      <c r="AV86" s="73">
        <v>5.2631578947368363E-2</v>
      </c>
      <c r="AW86" s="73">
        <v>-0.1029411764705882</v>
      </c>
      <c r="AX86" s="73">
        <v>-7.3529411764705843E-2</v>
      </c>
      <c r="AY86" s="72">
        <v>-6.4516129032258118E-2</v>
      </c>
      <c r="AZ86" s="24">
        <v>-3.1746031746031744E-2</v>
      </c>
      <c r="BA86" s="73">
        <v>-5.0000000000000044E-2</v>
      </c>
      <c r="BB86" s="73">
        <v>-6.557377049180324E-2</v>
      </c>
      <c r="BC86" s="73">
        <v>7.9365079365079305E-2</v>
      </c>
      <c r="BD86" s="72">
        <v>0.13793103448275867</v>
      </c>
      <c r="BE86" s="24">
        <v>1.6393442622950838E-2</v>
      </c>
    </row>
    <row r="87" spans="1:202" ht="15.6">
      <c r="A87" s="163"/>
      <c r="B87" s="24"/>
      <c r="C87" s="73"/>
      <c r="D87" s="73"/>
      <c r="E87" s="73"/>
      <c r="F87" s="73"/>
      <c r="G87" s="24"/>
      <c r="H87" s="73"/>
      <c r="I87" s="73"/>
      <c r="J87" s="73"/>
      <c r="K87" s="72"/>
      <c r="L87" s="24"/>
      <c r="M87" s="73"/>
      <c r="N87" s="73"/>
      <c r="O87" s="73"/>
      <c r="P87" s="72"/>
      <c r="Q87" s="24"/>
      <c r="R87" s="73"/>
      <c r="S87" s="73"/>
      <c r="T87" s="73"/>
      <c r="U87" s="72"/>
      <c r="V87" s="24"/>
      <c r="W87" s="73"/>
      <c r="X87" s="73"/>
      <c r="Y87" s="73"/>
      <c r="Z87" s="72"/>
      <c r="AA87" s="24"/>
      <c r="AB87" s="73"/>
      <c r="AC87" s="73"/>
      <c r="AD87" s="73"/>
      <c r="AE87" s="72"/>
      <c r="AF87" s="24"/>
      <c r="AG87" s="73"/>
      <c r="AH87" s="73"/>
      <c r="AI87" s="73"/>
      <c r="AJ87" s="72"/>
      <c r="AK87" s="24"/>
      <c r="AL87" s="73"/>
      <c r="AM87" s="73"/>
      <c r="AN87" s="73"/>
      <c r="AO87" s="72"/>
      <c r="AP87" s="24"/>
      <c r="AQ87" s="73"/>
      <c r="AR87" s="73"/>
      <c r="AS87" s="73"/>
      <c r="AT87" s="72"/>
      <c r="AU87" s="24"/>
      <c r="AV87" s="73"/>
      <c r="AW87" s="73"/>
      <c r="AX87" s="73"/>
      <c r="AY87" s="72"/>
      <c r="AZ87" s="24"/>
      <c r="BA87" s="73"/>
      <c r="BB87" s="73"/>
      <c r="BC87" s="73"/>
      <c r="BD87" s="72"/>
      <c r="BE87" s="24"/>
    </row>
    <row r="88" spans="1:202">
      <c r="A88" s="69" t="s">
        <v>162</v>
      </c>
      <c r="B88" s="99" t="s">
        <v>52</v>
      </c>
      <c r="C88" s="80" t="s">
        <v>52</v>
      </c>
      <c r="D88" s="80" t="s">
        <v>52</v>
      </c>
      <c r="E88" s="80" t="s">
        <v>52</v>
      </c>
      <c r="F88" s="80" t="s">
        <v>52</v>
      </c>
      <c r="G88" s="99" t="s">
        <v>52</v>
      </c>
      <c r="H88" s="90">
        <v>3.3000000000000002E-2</v>
      </c>
      <c r="I88" s="90">
        <v>3.3000000000000002E-2</v>
      </c>
      <c r="J88" s="90">
        <v>3.7999999999999999E-2</v>
      </c>
      <c r="K88" s="90">
        <v>3.4000000000000002E-2</v>
      </c>
      <c r="L88" s="56">
        <v>0.13800000000000001</v>
      </c>
      <c r="M88" s="90">
        <v>3.9E-2</v>
      </c>
      <c r="N88" s="90">
        <v>3.9E-2</v>
      </c>
      <c r="O88" s="90">
        <v>3.5000000000000003E-2</v>
      </c>
      <c r="P88" s="90">
        <v>3.9E-2</v>
      </c>
      <c r="Q88" s="56">
        <v>0.153</v>
      </c>
      <c r="R88" s="90">
        <v>0.05</v>
      </c>
      <c r="S88" s="90">
        <v>6.6000000000000003E-2</v>
      </c>
      <c r="T88" s="90">
        <v>6.0999999999999999E-2</v>
      </c>
      <c r="U88" s="90">
        <v>5.2999999999999999E-2</v>
      </c>
      <c r="V88" s="56">
        <v>0.22900000000000001</v>
      </c>
      <c r="W88" s="90">
        <v>3.9E-2</v>
      </c>
      <c r="X88" s="90">
        <v>0.06</v>
      </c>
      <c r="Y88" s="90">
        <v>6.7000000000000004E-2</v>
      </c>
      <c r="Z88" s="90">
        <v>5.8999999999999997E-2</v>
      </c>
      <c r="AA88" s="56">
        <v>0.224</v>
      </c>
      <c r="AB88" s="90">
        <v>7.1999999999999995E-2</v>
      </c>
      <c r="AC88" s="90">
        <v>6.9000000000000006E-2</v>
      </c>
      <c r="AD88" s="90">
        <v>6.2E-2</v>
      </c>
      <c r="AE88" s="90">
        <v>8.3000000000000004E-2</v>
      </c>
      <c r="AF88" s="56">
        <v>0.28599999999999998</v>
      </c>
      <c r="AG88" s="90">
        <v>7.5999999999999998E-2</v>
      </c>
      <c r="AH88" s="90">
        <v>6.5000000000000002E-2</v>
      </c>
      <c r="AI88" s="90">
        <v>7.2999999999999995E-2</v>
      </c>
      <c r="AJ88" s="90">
        <v>6.6000000000000003E-2</v>
      </c>
      <c r="AK88" s="56">
        <v>0.28000000000000003</v>
      </c>
      <c r="AL88" s="90">
        <v>6.5000000000000002E-2</v>
      </c>
      <c r="AM88" s="90">
        <v>6.0999999999999999E-2</v>
      </c>
      <c r="AN88" s="90">
        <v>6.4000000000000001E-2</v>
      </c>
      <c r="AO88" s="166">
        <v>6.7000000000000004E-2</v>
      </c>
      <c r="AP88" s="56">
        <v>0.25800000000000001</v>
      </c>
      <c r="AQ88" s="90">
        <v>5.1999999999999998E-2</v>
      </c>
      <c r="AR88" s="90">
        <v>6.2E-2</v>
      </c>
      <c r="AS88" s="90">
        <v>6.0999999999999999E-2</v>
      </c>
      <c r="AT88" s="90">
        <v>6.3E-2</v>
      </c>
      <c r="AU88" s="56">
        <v>0.23699999999999999</v>
      </c>
      <c r="AV88" s="90">
        <v>7.9000000000000001E-2</v>
      </c>
      <c r="AW88" s="90">
        <v>6.3E-2</v>
      </c>
      <c r="AX88" s="90">
        <v>7.0999999999999994E-2</v>
      </c>
      <c r="AY88" s="90">
        <v>6.9000000000000006E-2</v>
      </c>
      <c r="AZ88" s="56">
        <v>0.28199999999999997</v>
      </c>
      <c r="BA88" s="90">
        <v>0.08</v>
      </c>
      <c r="BB88" s="90">
        <v>7.2999999999999995E-2</v>
      </c>
      <c r="BC88" s="90">
        <v>9.0999999999999998E-2</v>
      </c>
      <c r="BD88" s="90">
        <v>0.09</v>
      </c>
      <c r="BE88" s="56">
        <v>0.33300000000000002</v>
      </c>
    </row>
    <row r="89" spans="1:202">
      <c r="A89" s="69"/>
      <c r="B89" s="99"/>
      <c r="C89" s="80"/>
      <c r="D89" s="80"/>
      <c r="E89" s="80"/>
      <c r="F89" s="80"/>
      <c r="G89" s="99"/>
      <c r="H89" s="90"/>
      <c r="I89" s="90"/>
      <c r="J89" s="90"/>
      <c r="K89" s="90"/>
      <c r="L89" s="56"/>
      <c r="M89" s="90"/>
      <c r="N89" s="90"/>
      <c r="O89" s="90"/>
      <c r="P89" s="90"/>
      <c r="Q89" s="56"/>
      <c r="R89" s="90"/>
      <c r="S89" s="90"/>
      <c r="T89" s="90"/>
      <c r="U89" s="90"/>
      <c r="V89" s="56"/>
      <c r="W89" s="90"/>
      <c r="X89" s="90"/>
      <c r="Y89" s="90"/>
      <c r="Z89" s="90"/>
      <c r="AA89" s="56"/>
      <c r="AB89" s="90"/>
      <c r="AC89" s="90"/>
      <c r="AD89" s="90"/>
      <c r="AE89" s="90"/>
      <c r="AF89" s="56"/>
      <c r="AG89" s="90"/>
      <c r="AH89" s="90"/>
      <c r="AI89" s="90"/>
      <c r="AJ89" s="90"/>
      <c r="AK89" s="56"/>
      <c r="AL89" s="90"/>
      <c r="AM89" s="90"/>
      <c r="AN89" s="90"/>
      <c r="AO89" s="90"/>
      <c r="AP89" s="56"/>
      <c r="AQ89" s="90"/>
      <c r="AR89" s="90"/>
      <c r="AS89" s="90"/>
      <c r="AT89" s="90"/>
      <c r="AU89" s="56"/>
      <c r="AV89" s="90"/>
      <c r="AW89" s="90"/>
      <c r="AX89" s="90"/>
      <c r="AY89" s="90"/>
      <c r="AZ89" s="56"/>
      <c r="BA89" s="90"/>
      <c r="BB89" s="90"/>
      <c r="BC89" s="90"/>
      <c r="BD89" s="90"/>
      <c r="BE89" s="56"/>
    </row>
    <row r="90" spans="1:202">
      <c r="A90" s="36" t="s">
        <v>18</v>
      </c>
      <c r="B90" s="142"/>
      <c r="C90" s="80"/>
      <c r="D90" s="80"/>
      <c r="E90" s="80"/>
      <c r="F90" s="80"/>
      <c r="G90" s="99" t="s">
        <v>52</v>
      </c>
      <c r="H90" s="90"/>
      <c r="I90" s="90"/>
      <c r="J90" s="90"/>
      <c r="K90" s="90"/>
      <c r="L90" s="99" t="s">
        <v>52</v>
      </c>
      <c r="M90" s="90"/>
      <c r="N90" s="90"/>
      <c r="O90" s="90"/>
      <c r="P90" s="90"/>
      <c r="Q90" s="99" t="s">
        <v>52</v>
      </c>
      <c r="R90" s="120" t="s">
        <v>44</v>
      </c>
      <c r="S90" s="120" t="s">
        <v>44</v>
      </c>
      <c r="T90" s="120" t="s">
        <v>44</v>
      </c>
      <c r="U90" s="120" t="s">
        <v>44</v>
      </c>
      <c r="V90" s="99" t="s">
        <v>52</v>
      </c>
      <c r="W90" s="120" t="s">
        <v>44</v>
      </c>
      <c r="X90" s="120" t="s">
        <v>44</v>
      </c>
      <c r="Y90" s="120" t="s">
        <v>44</v>
      </c>
      <c r="Z90" s="120" t="s">
        <v>44</v>
      </c>
      <c r="AA90" s="91">
        <v>4072</v>
      </c>
      <c r="AB90" s="120" t="s">
        <v>44</v>
      </c>
      <c r="AC90" s="120" t="s">
        <v>44</v>
      </c>
      <c r="AD90" s="120" t="s">
        <v>44</v>
      </c>
      <c r="AE90" s="120" t="s">
        <v>44</v>
      </c>
      <c r="AF90" s="91">
        <v>3288</v>
      </c>
      <c r="AG90" s="120" t="s">
        <v>44</v>
      </c>
      <c r="AH90" s="120" t="s">
        <v>44</v>
      </c>
      <c r="AI90" s="120" t="s">
        <v>44</v>
      </c>
      <c r="AJ90" s="70">
        <v>3001</v>
      </c>
      <c r="AK90" s="91">
        <v>3001</v>
      </c>
      <c r="AL90" s="120" t="s">
        <v>44</v>
      </c>
      <c r="AM90" s="120" t="s">
        <v>44</v>
      </c>
      <c r="AN90" s="120" t="s">
        <v>44</v>
      </c>
      <c r="AO90" s="70">
        <v>2679</v>
      </c>
      <c r="AP90" s="91">
        <v>2679</v>
      </c>
      <c r="AQ90" s="120" t="s">
        <v>44</v>
      </c>
      <c r="AR90" s="120" t="s">
        <v>44</v>
      </c>
      <c r="AS90" s="120" t="s">
        <v>44</v>
      </c>
      <c r="AT90" s="70">
        <v>2594</v>
      </c>
      <c r="AU90" s="91">
        <v>2594</v>
      </c>
      <c r="AV90" s="120" t="s">
        <v>44</v>
      </c>
      <c r="AW90" s="120" t="s">
        <v>44</v>
      </c>
      <c r="AX90" s="120" t="s">
        <v>44</v>
      </c>
      <c r="AY90" s="70">
        <v>2551</v>
      </c>
      <c r="AZ90" s="91">
        <v>2551</v>
      </c>
      <c r="BA90" s="120" t="s">
        <v>44</v>
      </c>
      <c r="BB90" s="120" t="s">
        <v>44</v>
      </c>
      <c r="BC90" s="120" t="s">
        <v>44</v>
      </c>
      <c r="BD90" s="70">
        <v>2453</v>
      </c>
      <c r="BE90" s="91">
        <v>2453</v>
      </c>
    </row>
    <row r="91" spans="1:202">
      <c r="A91" s="71" t="s">
        <v>8</v>
      </c>
      <c r="B91" s="99"/>
      <c r="C91" s="99"/>
      <c r="D91" s="99"/>
      <c r="E91" s="99"/>
      <c r="F91" s="99"/>
      <c r="G91" s="99"/>
      <c r="H91" s="99"/>
      <c r="I91" s="99"/>
      <c r="J91" s="99"/>
      <c r="K91" s="99"/>
      <c r="L91" s="99"/>
      <c r="M91" s="99"/>
      <c r="N91" s="99"/>
      <c r="O91" s="99"/>
      <c r="P91" s="99"/>
      <c r="Q91" s="99"/>
      <c r="R91" s="99"/>
      <c r="S91" s="99"/>
      <c r="T91" s="99"/>
      <c r="U91" s="99"/>
      <c r="V91" s="99"/>
      <c r="W91" s="73"/>
      <c r="X91" s="73"/>
      <c r="Y91" s="73"/>
      <c r="Z91" s="72"/>
      <c r="AA91" s="24"/>
      <c r="AB91" s="73"/>
      <c r="AC91" s="73"/>
      <c r="AD91" s="73"/>
      <c r="AE91" s="72"/>
      <c r="AF91" s="24">
        <v>-0.19253438113948917</v>
      </c>
      <c r="AG91" s="73"/>
      <c r="AH91" s="73"/>
      <c r="AI91" s="73"/>
      <c r="AJ91" s="72"/>
      <c r="AK91" s="24">
        <v>-8.7287104622871037E-2</v>
      </c>
      <c r="AL91" s="73"/>
      <c r="AM91" s="73"/>
      <c r="AN91" s="73"/>
      <c r="AO91" s="72"/>
      <c r="AP91" s="24">
        <v>-0.10729756747750752</v>
      </c>
      <c r="AQ91" s="73"/>
      <c r="AR91" s="73"/>
      <c r="AS91" s="73"/>
      <c r="AT91" s="72"/>
      <c r="AU91" s="24">
        <v>-3.1728256812243338E-2</v>
      </c>
      <c r="AV91" s="73"/>
      <c r="AW91" s="73"/>
      <c r="AX91" s="73"/>
      <c r="AY91" s="72"/>
      <c r="AZ91" s="24">
        <v>-1.6576715497301442E-2</v>
      </c>
      <c r="BA91" s="73"/>
      <c r="BB91" s="73"/>
      <c r="BC91" s="73"/>
      <c r="BD91" s="72"/>
      <c r="BE91" s="24">
        <v>-3.8416307330458643E-2</v>
      </c>
    </row>
    <row r="92" spans="1:202" s="2" customFormat="1" ht="6.75" hidden="1" customHeight="1">
      <c r="A92" s="94"/>
      <c r="B92" s="99"/>
      <c r="C92" s="99"/>
      <c r="D92" s="99"/>
      <c r="E92" s="99"/>
      <c r="F92" s="99"/>
      <c r="G92" s="99"/>
      <c r="H92" s="99"/>
      <c r="I92" s="99"/>
      <c r="J92" s="99"/>
      <c r="K92" s="99"/>
      <c r="L92" s="99"/>
      <c r="M92" s="99"/>
      <c r="N92" s="99"/>
      <c r="O92" s="99"/>
      <c r="P92" s="99"/>
      <c r="Q92" s="99"/>
      <c r="R92" s="99"/>
      <c r="S92" s="99"/>
      <c r="T92" s="99"/>
      <c r="U92" s="99"/>
      <c r="V92" s="99"/>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c r="BC92" s="46"/>
      <c r="BD92" s="46"/>
      <c r="BE92" s="46"/>
      <c r="BF92" s="3"/>
      <c r="BG92" s="3"/>
      <c r="BH92" s="3"/>
      <c r="BI92" s="36"/>
      <c r="BJ92" s="36"/>
      <c r="BK92" s="36"/>
      <c r="BL92" s="36"/>
      <c r="BM92" s="36"/>
      <c r="BN92" s="36"/>
      <c r="BO92" s="36"/>
      <c r="BP92" s="36"/>
      <c r="BQ92" s="36"/>
      <c r="BR92" s="36"/>
      <c r="BS92" s="36"/>
      <c r="BT92" s="36"/>
      <c r="BU92" s="36"/>
      <c r="BV92" s="36"/>
      <c r="BW92" s="36"/>
      <c r="BX92" s="36"/>
      <c r="BY92" s="36"/>
      <c r="BZ92" s="36"/>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c r="DG92" s="36"/>
      <c r="DH92" s="36"/>
      <c r="DI92" s="36"/>
      <c r="DJ92" s="36"/>
      <c r="DK92" s="36"/>
      <c r="DL92" s="36"/>
      <c r="DM92" s="36"/>
      <c r="DN92" s="36"/>
      <c r="DO92" s="36"/>
      <c r="DP92" s="36"/>
      <c r="DQ92" s="36"/>
      <c r="DR92" s="36"/>
      <c r="DS92" s="36"/>
      <c r="DT92" s="36"/>
      <c r="DU92" s="36"/>
      <c r="DV92" s="36"/>
      <c r="DW92" s="36"/>
      <c r="DX92" s="36"/>
      <c r="DY92" s="36"/>
      <c r="DZ92" s="36"/>
      <c r="EA92" s="36"/>
      <c r="EB92" s="36"/>
      <c r="EC92" s="36"/>
      <c r="ED92" s="36"/>
      <c r="EE92" s="36"/>
      <c r="EF92" s="36"/>
      <c r="EG92" s="36"/>
      <c r="EH92" s="36"/>
      <c r="EI92" s="36"/>
      <c r="EJ92" s="36"/>
      <c r="EK92" s="36"/>
      <c r="EL92" s="36"/>
      <c r="EM92" s="36"/>
      <c r="EN92" s="36"/>
      <c r="EO92" s="36"/>
      <c r="EP92" s="36"/>
      <c r="EQ92" s="36"/>
      <c r="ER92" s="36"/>
      <c r="ES92" s="36"/>
      <c r="ET92" s="36"/>
      <c r="EU92" s="36"/>
      <c r="EV92" s="36"/>
      <c r="EW92" s="36"/>
      <c r="EX92" s="36"/>
      <c r="EY92" s="36"/>
      <c r="EZ92" s="36"/>
      <c r="FA92" s="36"/>
      <c r="FB92" s="36"/>
      <c r="FC92" s="36"/>
      <c r="FD92" s="36"/>
      <c r="FE92" s="36"/>
      <c r="FF92" s="36"/>
      <c r="FG92" s="36"/>
      <c r="FH92" s="36"/>
      <c r="FI92" s="36"/>
      <c r="FJ92" s="36"/>
      <c r="FK92" s="36"/>
      <c r="FL92" s="36"/>
      <c r="FM92" s="36"/>
      <c r="FN92" s="36"/>
      <c r="FO92" s="36"/>
      <c r="FP92" s="36"/>
      <c r="FQ92" s="36"/>
      <c r="FR92" s="36"/>
      <c r="FS92" s="36"/>
      <c r="FT92" s="36"/>
      <c r="FU92" s="36"/>
      <c r="FV92" s="36"/>
      <c r="FW92" s="36"/>
      <c r="FX92" s="36"/>
      <c r="FY92" s="36"/>
      <c r="FZ92" s="36"/>
      <c r="GA92" s="36"/>
      <c r="GB92" s="36"/>
      <c r="GC92" s="36"/>
      <c r="GD92" s="36"/>
      <c r="GE92" s="36"/>
      <c r="GF92" s="36"/>
      <c r="GG92" s="36"/>
      <c r="GH92" s="36"/>
      <c r="GI92" s="36"/>
      <c r="GJ92" s="36"/>
      <c r="GK92" s="36"/>
      <c r="GL92" s="36"/>
      <c r="GM92" s="36"/>
      <c r="GN92" s="36"/>
      <c r="GO92" s="36"/>
      <c r="GP92" s="36"/>
      <c r="GQ92" s="36"/>
      <c r="GR92" s="36"/>
      <c r="GS92" s="36"/>
      <c r="GT92" s="36"/>
    </row>
    <row r="93" spans="1:202" s="2" customFormat="1" ht="12.75" customHeight="1">
      <c r="A93" s="90"/>
      <c r="B93" s="56"/>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73"/>
      <c r="AH93" s="73"/>
      <c r="AI93" s="73"/>
      <c r="AJ93" s="73"/>
      <c r="AK93" s="56"/>
      <c r="AL93" s="90"/>
      <c r="AM93" s="90"/>
      <c r="AN93" s="90"/>
      <c r="AO93" s="73"/>
      <c r="AP93" s="56"/>
      <c r="AQ93" s="90"/>
      <c r="AR93" s="90"/>
      <c r="AS93" s="90"/>
      <c r="AT93" s="73"/>
      <c r="AU93" s="56"/>
      <c r="AV93" s="90"/>
      <c r="AW93" s="90"/>
      <c r="AX93" s="90"/>
      <c r="AY93" s="73"/>
      <c r="AZ93" s="56"/>
      <c r="BA93" s="90"/>
      <c r="BB93" s="90"/>
      <c r="BC93" s="90"/>
      <c r="BD93" s="73"/>
      <c r="BE93" s="56"/>
      <c r="BF93" s="3"/>
      <c r="BG93" s="3"/>
      <c r="BH93" s="3"/>
      <c r="BI93" s="36"/>
      <c r="BJ93" s="36"/>
      <c r="BK93" s="36"/>
      <c r="BL93" s="36"/>
      <c r="BM93" s="36"/>
      <c r="BN93" s="36"/>
      <c r="BO93" s="36"/>
      <c r="BP93" s="36"/>
      <c r="BQ93" s="36"/>
      <c r="BR93" s="36"/>
      <c r="BS93" s="36"/>
      <c r="BT93" s="36"/>
      <c r="BU93" s="36"/>
      <c r="BV93" s="36"/>
      <c r="BW93" s="36"/>
      <c r="BX93" s="36"/>
      <c r="BY93" s="36"/>
      <c r="BZ93" s="36"/>
      <c r="CA93" s="36"/>
      <c r="CB93" s="36"/>
      <c r="CC93" s="36"/>
      <c r="CD93" s="36"/>
      <c r="CE93" s="36"/>
      <c r="CF93" s="36"/>
      <c r="CG93" s="36"/>
      <c r="CH93" s="36"/>
      <c r="CI93" s="36"/>
      <c r="CJ93" s="36"/>
      <c r="CK93" s="36"/>
      <c r="CL93" s="36"/>
      <c r="CM93" s="36"/>
      <c r="CN93" s="36"/>
      <c r="CO93" s="36"/>
      <c r="CP93" s="36"/>
      <c r="CQ93" s="36"/>
      <c r="CR93" s="36"/>
      <c r="CS93" s="36"/>
      <c r="CT93" s="36"/>
      <c r="CU93" s="36"/>
      <c r="CV93" s="36"/>
      <c r="CW93" s="36"/>
      <c r="CX93" s="36"/>
      <c r="CY93" s="36"/>
      <c r="CZ93" s="36"/>
      <c r="DA93" s="36"/>
      <c r="DB93" s="36"/>
      <c r="DC93" s="36"/>
      <c r="DD93" s="36"/>
      <c r="DE93" s="36"/>
      <c r="DF93" s="36"/>
      <c r="DG93" s="36"/>
      <c r="DH93" s="36"/>
      <c r="DI93" s="36"/>
      <c r="DJ93" s="36"/>
      <c r="DK93" s="36"/>
      <c r="DL93" s="36"/>
      <c r="DM93" s="36"/>
      <c r="DN93" s="36"/>
      <c r="DO93" s="36"/>
      <c r="DP93" s="36"/>
      <c r="DQ93" s="36"/>
      <c r="DR93" s="36"/>
      <c r="DS93" s="36"/>
      <c r="DT93" s="36"/>
      <c r="DU93" s="36"/>
      <c r="DV93" s="36"/>
      <c r="DW93" s="36"/>
      <c r="DX93" s="36"/>
      <c r="DY93" s="36"/>
      <c r="DZ93" s="36"/>
      <c r="EA93" s="36"/>
      <c r="EB93" s="36"/>
      <c r="EC93" s="36"/>
      <c r="ED93" s="36"/>
      <c r="EE93" s="36"/>
      <c r="EF93" s="36"/>
      <c r="EG93" s="36"/>
      <c r="EH93" s="36"/>
      <c r="EI93" s="36"/>
      <c r="EJ93" s="36"/>
      <c r="EK93" s="36"/>
      <c r="EL93" s="36"/>
      <c r="EM93" s="36"/>
      <c r="EN93" s="36"/>
      <c r="EO93" s="36"/>
      <c r="EP93" s="36"/>
      <c r="EQ93" s="36"/>
      <c r="ER93" s="36"/>
      <c r="ES93" s="36"/>
      <c r="ET93" s="36"/>
      <c r="EU93" s="36"/>
      <c r="EV93" s="36"/>
      <c r="EW93" s="36"/>
      <c r="EX93" s="36"/>
      <c r="EY93" s="36"/>
      <c r="EZ93" s="36"/>
      <c r="FA93" s="36"/>
      <c r="FB93" s="36"/>
      <c r="FC93" s="36"/>
      <c r="FD93" s="36"/>
      <c r="FE93" s="36"/>
      <c r="FF93" s="36"/>
      <c r="FG93" s="36"/>
      <c r="FH93" s="36"/>
      <c r="FI93" s="36"/>
      <c r="FJ93" s="36"/>
      <c r="FK93" s="36"/>
      <c r="FL93" s="36"/>
      <c r="FM93" s="36"/>
      <c r="FN93" s="36"/>
      <c r="FO93" s="36"/>
      <c r="FP93" s="36"/>
      <c r="FQ93" s="36"/>
      <c r="FR93" s="36"/>
      <c r="FS93" s="36"/>
      <c r="FT93" s="36"/>
      <c r="FU93" s="36"/>
      <c r="FV93" s="36"/>
      <c r="FW93" s="36"/>
      <c r="FX93" s="36"/>
      <c r="FY93" s="36"/>
      <c r="FZ93" s="36"/>
      <c r="GA93" s="36"/>
      <c r="GB93" s="36"/>
      <c r="GC93" s="36"/>
      <c r="GD93" s="36"/>
      <c r="GE93" s="36"/>
      <c r="GF93" s="36"/>
      <c r="GG93" s="36"/>
      <c r="GH93" s="36"/>
      <c r="GI93" s="36"/>
      <c r="GJ93" s="36"/>
      <c r="GK93" s="36"/>
      <c r="GL93" s="36"/>
      <c r="GM93" s="36"/>
      <c r="GN93" s="36"/>
      <c r="GO93" s="36"/>
      <c r="GP93" s="36"/>
      <c r="GQ93" s="36"/>
      <c r="GR93" s="36"/>
      <c r="GS93" s="36"/>
      <c r="GT93" s="36"/>
    </row>
    <row r="94" spans="1:202" s="2" customFormat="1" ht="15.75" customHeight="1">
      <c r="A94" s="69" t="s">
        <v>156</v>
      </c>
      <c r="B94" s="56">
        <v>0.29199999999999998</v>
      </c>
      <c r="C94" s="56"/>
      <c r="D94" s="56"/>
      <c r="E94" s="56"/>
      <c r="F94" s="56"/>
      <c r="G94" s="56">
        <v>0.28599999999999998</v>
      </c>
      <c r="H94" s="56"/>
      <c r="I94" s="56"/>
      <c r="J94" s="56"/>
      <c r="K94" s="56"/>
      <c r="L94" s="56">
        <v>0.28999999999999998</v>
      </c>
      <c r="M94" s="56"/>
      <c r="N94" s="56"/>
      <c r="O94" s="56"/>
      <c r="P94" s="56"/>
      <c r="Q94" s="56">
        <v>0.28899999999999998</v>
      </c>
      <c r="R94" s="56"/>
      <c r="S94" s="56"/>
      <c r="T94" s="56"/>
      <c r="U94" s="56"/>
      <c r="V94" s="56">
        <v>0.28999999999999998</v>
      </c>
      <c r="W94" s="56"/>
      <c r="X94" s="56"/>
      <c r="Y94" s="56"/>
      <c r="Z94" s="56"/>
      <c r="AA94" s="56">
        <v>0.28199999999999997</v>
      </c>
      <c r="AB94" s="56"/>
      <c r="AC94" s="56"/>
      <c r="AD94" s="56"/>
      <c r="AE94" s="56"/>
      <c r="AF94" s="56">
        <v>0.26300000000000001</v>
      </c>
      <c r="AG94" s="120" t="s">
        <v>44</v>
      </c>
      <c r="AH94" s="120" t="s">
        <v>44</v>
      </c>
      <c r="AI94" s="120" t="s">
        <v>44</v>
      </c>
      <c r="AJ94" s="120" t="s">
        <v>44</v>
      </c>
      <c r="AK94" s="56">
        <v>0.255</v>
      </c>
      <c r="AL94" s="120" t="s">
        <v>44</v>
      </c>
      <c r="AM94" s="120" t="s">
        <v>44</v>
      </c>
      <c r="AN94" s="120" t="s">
        <v>44</v>
      </c>
      <c r="AO94" s="120" t="s">
        <v>44</v>
      </c>
      <c r="AP94" s="56">
        <v>0.252</v>
      </c>
      <c r="AQ94" s="120" t="s">
        <v>44</v>
      </c>
      <c r="AR94" s="120" t="s">
        <v>44</v>
      </c>
      <c r="AS94" s="195">
        <v>0.22700000000000001</v>
      </c>
      <c r="AT94" s="195">
        <v>0.23100000000000001</v>
      </c>
      <c r="AU94" s="39">
        <v>0.23100000000000001</v>
      </c>
      <c r="AV94" s="120" t="s">
        <v>44</v>
      </c>
      <c r="AW94" s="120" t="s">
        <v>44</v>
      </c>
      <c r="AX94" s="90">
        <v>0.23300000000000001</v>
      </c>
      <c r="AY94" s="90">
        <v>0.23599999999999999</v>
      </c>
      <c r="AZ94" s="39">
        <v>0.23599999999999999</v>
      </c>
      <c r="BA94" s="120" t="s">
        <v>44</v>
      </c>
      <c r="BB94" s="120" t="s">
        <v>44</v>
      </c>
      <c r="BC94" s="90">
        <v>0.21</v>
      </c>
      <c r="BD94" s="120" t="s">
        <v>44</v>
      </c>
      <c r="BE94" s="169" t="s">
        <v>44</v>
      </c>
      <c r="BF94" s="3"/>
      <c r="BG94" s="3"/>
      <c r="BH94" s="3"/>
      <c r="BI94" s="36"/>
      <c r="BJ94" s="36"/>
      <c r="BK94" s="36"/>
      <c r="BL94" s="36"/>
      <c r="BM94" s="36"/>
      <c r="BN94" s="36"/>
      <c r="BO94" s="36"/>
      <c r="BP94" s="36"/>
      <c r="BQ94" s="36"/>
      <c r="BR94" s="36"/>
      <c r="BS94" s="36"/>
      <c r="BT94" s="36"/>
      <c r="BU94" s="36"/>
      <c r="BV94" s="36"/>
      <c r="BW94" s="36"/>
      <c r="BX94" s="36"/>
      <c r="BY94" s="36"/>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36"/>
      <c r="DH94" s="36"/>
      <c r="DI94" s="36"/>
      <c r="DJ94" s="36"/>
      <c r="DK94" s="36"/>
      <c r="DL94" s="36"/>
      <c r="DM94" s="36"/>
      <c r="DN94" s="36"/>
      <c r="DO94" s="36"/>
      <c r="DP94" s="36"/>
      <c r="DQ94" s="36"/>
      <c r="DR94" s="36"/>
      <c r="DS94" s="36"/>
      <c r="DT94" s="36"/>
      <c r="DU94" s="36"/>
      <c r="DV94" s="36"/>
      <c r="DW94" s="36"/>
      <c r="DX94" s="36"/>
      <c r="DY94" s="36"/>
      <c r="DZ94" s="36"/>
      <c r="EA94" s="36"/>
      <c r="EB94" s="36"/>
      <c r="EC94" s="36"/>
      <c r="ED94" s="36"/>
      <c r="EE94" s="36"/>
      <c r="EF94" s="36"/>
      <c r="EG94" s="36"/>
      <c r="EH94" s="36"/>
      <c r="EI94" s="36"/>
      <c r="EJ94" s="36"/>
      <c r="EK94" s="36"/>
      <c r="EL94" s="36"/>
      <c r="EM94" s="36"/>
      <c r="EN94" s="36"/>
      <c r="EO94" s="36"/>
      <c r="EP94" s="36"/>
      <c r="EQ94" s="36"/>
      <c r="ER94" s="36"/>
      <c r="ES94" s="36"/>
      <c r="ET94" s="36"/>
      <c r="EU94" s="36"/>
      <c r="EV94" s="36"/>
      <c r="EW94" s="36"/>
      <c r="EX94" s="36"/>
      <c r="EY94" s="36"/>
      <c r="EZ94" s="36"/>
      <c r="FA94" s="36"/>
      <c r="FB94" s="36"/>
      <c r="FC94" s="36"/>
      <c r="FD94" s="36"/>
      <c r="FE94" s="36"/>
      <c r="FF94" s="36"/>
      <c r="FG94" s="36"/>
      <c r="FH94" s="36"/>
      <c r="FI94" s="36"/>
      <c r="FJ94" s="36"/>
      <c r="FK94" s="36"/>
      <c r="FL94" s="36"/>
      <c r="FM94" s="36"/>
      <c r="FN94" s="36"/>
      <c r="FO94" s="36"/>
      <c r="FP94" s="36"/>
      <c r="FQ94" s="36"/>
      <c r="FR94" s="36"/>
      <c r="FS94" s="36"/>
      <c r="FT94" s="36"/>
      <c r="FU94" s="36"/>
      <c r="FV94" s="36"/>
      <c r="FW94" s="36"/>
      <c r="FX94" s="36"/>
      <c r="FY94" s="36"/>
      <c r="FZ94" s="36"/>
      <c r="GA94" s="36"/>
      <c r="GB94" s="36"/>
      <c r="GC94" s="36"/>
      <c r="GD94" s="36"/>
      <c r="GE94" s="36"/>
      <c r="GF94" s="36"/>
      <c r="GG94" s="36"/>
      <c r="GH94" s="36"/>
      <c r="GI94" s="36"/>
      <c r="GJ94" s="36"/>
      <c r="GK94" s="36"/>
      <c r="GL94" s="36"/>
      <c r="GM94" s="36"/>
      <c r="GN94" s="36"/>
      <c r="GO94" s="36"/>
      <c r="GP94" s="36"/>
      <c r="GQ94" s="36"/>
      <c r="GR94" s="36"/>
      <c r="GS94" s="36"/>
      <c r="GT94" s="36"/>
    </row>
    <row r="95" spans="1:202" s="2" customFormat="1" ht="3" customHeight="1">
      <c r="A95" s="94"/>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3"/>
      <c r="BG95" s="3"/>
      <c r="BH95" s="3"/>
      <c r="BI95" s="36"/>
      <c r="BJ95" s="36"/>
      <c r="BK95" s="36"/>
      <c r="BL95" s="36"/>
      <c r="BM95" s="36"/>
      <c r="BN95" s="36"/>
      <c r="BO95" s="36"/>
      <c r="BP95" s="36"/>
      <c r="BQ95" s="36"/>
      <c r="BR95" s="36"/>
      <c r="BS95" s="36"/>
      <c r="BT95" s="36"/>
      <c r="BU95" s="36"/>
      <c r="BV95" s="36"/>
      <c r="BW95" s="36"/>
      <c r="BX95" s="36"/>
      <c r="BY95" s="36"/>
      <c r="BZ95" s="36"/>
      <c r="CA95" s="36"/>
      <c r="CB95" s="36"/>
      <c r="CC95" s="36"/>
      <c r="CD95" s="36"/>
      <c r="CE95" s="36"/>
      <c r="CF95" s="36"/>
      <c r="CG95" s="36"/>
      <c r="CH95" s="36"/>
      <c r="CI95" s="36"/>
      <c r="CJ95" s="36"/>
      <c r="CK95" s="36"/>
      <c r="CL95" s="36"/>
      <c r="CM95" s="36"/>
      <c r="CN95" s="36"/>
      <c r="CO95" s="36"/>
      <c r="CP95" s="36"/>
      <c r="CQ95" s="36"/>
      <c r="CR95" s="36"/>
      <c r="CS95" s="36"/>
      <c r="CT95" s="36"/>
      <c r="CU95" s="36"/>
      <c r="CV95" s="36"/>
      <c r="CW95" s="36"/>
      <c r="CX95" s="36"/>
      <c r="CY95" s="36"/>
      <c r="CZ95" s="36"/>
      <c r="DA95" s="36"/>
      <c r="DB95" s="36"/>
      <c r="DC95" s="36"/>
      <c r="DD95" s="36"/>
      <c r="DE95" s="36"/>
      <c r="DF95" s="36"/>
      <c r="DG95" s="36"/>
      <c r="DH95" s="36"/>
      <c r="DI95" s="36"/>
      <c r="DJ95" s="36"/>
      <c r="DK95" s="36"/>
      <c r="DL95" s="36"/>
      <c r="DM95" s="36"/>
      <c r="DN95" s="36"/>
      <c r="DO95" s="36"/>
      <c r="DP95" s="36"/>
      <c r="DQ95" s="36"/>
      <c r="DR95" s="36"/>
      <c r="DS95" s="36"/>
      <c r="DT95" s="36"/>
      <c r="DU95" s="36"/>
      <c r="DV95" s="36"/>
      <c r="DW95" s="36"/>
      <c r="DX95" s="36"/>
      <c r="DY95" s="36"/>
      <c r="DZ95" s="36"/>
      <c r="EA95" s="36"/>
      <c r="EB95" s="36"/>
      <c r="EC95" s="36"/>
      <c r="ED95" s="36"/>
      <c r="EE95" s="36"/>
      <c r="EF95" s="36"/>
      <c r="EG95" s="36"/>
      <c r="EH95" s="36"/>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c r="FG95" s="36"/>
      <c r="FH95" s="36"/>
      <c r="FI95" s="36"/>
      <c r="FJ95" s="36"/>
      <c r="FK95" s="36"/>
      <c r="FL95" s="36"/>
      <c r="FM95" s="36"/>
      <c r="FN95" s="36"/>
      <c r="FO95" s="36"/>
      <c r="FP95" s="36"/>
      <c r="FQ95" s="36"/>
      <c r="FR95" s="36"/>
      <c r="FS95" s="36"/>
      <c r="FT95" s="36"/>
      <c r="FU95" s="36"/>
      <c r="FV95" s="36"/>
      <c r="FW95" s="36"/>
      <c r="FX95" s="36"/>
      <c r="FY95" s="36"/>
      <c r="FZ95" s="36"/>
      <c r="GA95" s="36"/>
      <c r="GB95" s="36"/>
      <c r="GC95" s="36"/>
      <c r="GD95" s="36"/>
      <c r="GE95" s="36"/>
      <c r="GF95" s="36"/>
      <c r="GG95" s="36"/>
      <c r="GH95" s="36"/>
      <c r="GI95" s="36"/>
      <c r="GJ95" s="36"/>
      <c r="GK95" s="36"/>
      <c r="GL95" s="36"/>
      <c r="GM95" s="36"/>
      <c r="GN95" s="36"/>
      <c r="GO95" s="36"/>
      <c r="GP95" s="36"/>
      <c r="GQ95" s="36"/>
      <c r="GR95" s="36"/>
      <c r="GS95" s="36"/>
      <c r="GT95" s="36"/>
    </row>
    <row r="96" spans="1:202" ht="21">
      <c r="A96" s="35" t="s">
        <v>15</v>
      </c>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row>
    <row r="97" spans="1:202">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row>
    <row r="98" spans="1:202">
      <c r="A98" s="40" t="s">
        <v>27</v>
      </c>
      <c r="B98" s="41"/>
      <c r="C98" s="42"/>
      <c r="D98" s="42"/>
      <c r="E98" s="42"/>
      <c r="F98" s="42"/>
      <c r="G98" s="41"/>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row>
    <row r="99" spans="1:202" ht="3.6" customHeight="1">
      <c r="A99" s="69"/>
      <c r="B99" s="29"/>
      <c r="C99" s="69"/>
      <c r="D99" s="69"/>
      <c r="E99" s="69"/>
      <c r="F99" s="69"/>
      <c r="G99" s="29"/>
      <c r="H99" s="69"/>
      <c r="I99" s="69"/>
      <c r="J99" s="69"/>
      <c r="K99" s="69"/>
      <c r="L99" s="21"/>
      <c r="M99" s="69"/>
      <c r="N99" s="69"/>
      <c r="O99" s="69"/>
      <c r="P99" s="69"/>
      <c r="Q99" s="21"/>
      <c r="R99" s="69"/>
      <c r="S99" s="69"/>
      <c r="T99" s="69"/>
      <c r="U99" s="69"/>
      <c r="V99" s="21"/>
      <c r="W99" s="69"/>
      <c r="X99" s="69"/>
      <c r="Y99" s="69"/>
      <c r="Z99" s="69"/>
      <c r="AA99" s="21"/>
      <c r="AB99" s="69"/>
      <c r="AC99" s="69"/>
      <c r="AD99" s="69"/>
      <c r="AE99" s="69"/>
      <c r="AF99" s="21"/>
      <c r="AG99" s="69"/>
      <c r="AH99" s="69"/>
      <c r="AI99" s="69"/>
      <c r="AJ99" s="69"/>
      <c r="AK99" s="21"/>
      <c r="AL99" s="69"/>
      <c r="AM99" s="69"/>
      <c r="AN99" s="69"/>
      <c r="AO99" s="69"/>
      <c r="AP99" s="21"/>
      <c r="AQ99" s="69"/>
      <c r="AR99" s="69"/>
      <c r="AS99" s="69"/>
      <c r="AT99" s="69"/>
      <c r="AU99" s="21"/>
      <c r="AV99" s="69"/>
      <c r="AW99" s="69"/>
      <c r="AX99" s="69"/>
      <c r="AY99" s="69"/>
      <c r="AZ99" s="21"/>
      <c r="BA99" s="69"/>
      <c r="BB99" s="69"/>
      <c r="BC99" s="69"/>
      <c r="BD99" s="69"/>
      <c r="BE99" s="21"/>
    </row>
    <row r="100" spans="1:202">
      <c r="A100" s="69" t="s">
        <v>135</v>
      </c>
      <c r="B100" s="142">
        <v>2621</v>
      </c>
      <c r="C100" s="80" t="s">
        <v>52</v>
      </c>
      <c r="D100" s="80" t="s">
        <v>52</v>
      </c>
      <c r="E100" s="80" t="s">
        <v>52</v>
      </c>
      <c r="F100" s="80" t="s">
        <v>52</v>
      </c>
      <c r="G100" s="142">
        <v>2325</v>
      </c>
      <c r="H100" s="80" t="s">
        <v>52</v>
      </c>
      <c r="I100" s="80" t="s">
        <v>52</v>
      </c>
      <c r="J100" s="80" t="s">
        <v>52</v>
      </c>
      <c r="K100" s="80" t="s">
        <v>52</v>
      </c>
      <c r="L100" s="142">
        <v>2445</v>
      </c>
      <c r="M100" s="80" t="s">
        <v>52</v>
      </c>
      <c r="N100" s="80" t="s">
        <v>52</v>
      </c>
      <c r="O100" s="80" t="s">
        <v>52</v>
      </c>
      <c r="P100" s="80" t="s">
        <v>52</v>
      </c>
      <c r="Q100" s="142">
        <v>2112</v>
      </c>
      <c r="R100" s="120" t="s">
        <v>44</v>
      </c>
      <c r="S100" s="120" t="s">
        <v>44</v>
      </c>
      <c r="T100" s="120" t="s">
        <v>44</v>
      </c>
      <c r="U100" s="120" t="s">
        <v>44</v>
      </c>
      <c r="V100" s="142">
        <v>2262</v>
      </c>
      <c r="W100" s="120" t="s">
        <v>44</v>
      </c>
      <c r="X100" s="120" t="s">
        <v>44</v>
      </c>
      <c r="Y100" s="120" t="s">
        <v>44</v>
      </c>
      <c r="Z100" s="120" t="s">
        <v>44</v>
      </c>
      <c r="AA100" s="142">
        <v>2102</v>
      </c>
      <c r="AB100" s="120" t="s">
        <v>44</v>
      </c>
      <c r="AC100" s="120" t="s">
        <v>44</v>
      </c>
      <c r="AD100" s="120" t="s">
        <v>44</v>
      </c>
      <c r="AE100" s="120" t="s">
        <v>44</v>
      </c>
      <c r="AF100" s="142">
        <v>2007</v>
      </c>
      <c r="AG100" s="120" t="s">
        <v>44</v>
      </c>
      <c r="AH100" s="120" t="s">
        <v>44</v>
      </c>
      <c r="AI100" s="120" t="s">
        <v>44</v>
      </c>
      <c r="AJ100" s="70">
        <v>1932</v>
      </c>
      <c r="AK100" s="142">
        <v>1932</v>
      </c>
      <c r="AL100" s="120" t="s">
        <v>44</v>
      </c>
      <c r="AM100" s="120" t="s">
        <v>44</v>
      </c>
      <c r="AN100" s="120" t="s">
        <v>44</v>
      </c>
      <c r="AO100" s="70">
        <v>1966</v>
      </c>
      <c r="AP100" s="142">
        <v>1966</v>
      </c>
      <c r="AQ100" s="120" t="s">
        <v>44</v>
      </c>
      <c r="AR100" s="120" t="s">
        <v>44</v>
      </c>
      <c r="AS100" s="120" t="s">
        <v>44</v>
      </c>
      <c r="AT100" s="70">
        <v>1905</v>
      </c>
      <c r="AU100" s="142">
        <v>1905</v>
      </c>
      <c r="AV100" s="120" t="s">
        <v>44</v>
      </c>
      <c r="AW100" s="120" t="s">
        <v>44</v>
      </c>
      <c r="AX100" s="120" t="s">
        <v>44</v>
      </c>
      <c r="AY100" s="70">
        <v>1864</v>
      </c>
      <c r="AZ100" s="142">
        <v>1864</v>
      </c>
      <c r="BA100" s="120" t="s">
        <v>44</v>
      </c>
      <c r="BB100" s="120" t="s">
        <v>44</v>
      </c>
      <c r="BC100" s="120" t="s">
        <v>44</v>
      </c>
      <c r="BD100" s="70">
        <v>1653</v>
      </c>
      <c r="BE100" s="142">
        <v>1653</v>
      </c>
    </row>
    <row r="101" spans="1:202">
      <c r="A101" s="71" t="s">
        <v>7</v>
      </c>
      <c r="B101" s="24"/>
      <c r="C101" s="72"/>
      <c r="D101" s="72"/>
      <c r="E101" s="72"/>
      <c r="F101" s="72"/>
      <c r="G101" s="24"/>
      <c r="H101" s="72"/>
      <c r="I101" s="72"/>
      <c r="J101" s="72"/>
      <c r="K101" s="72"/>
      <c r="L101" s="27"/>
      <c r="M101" s="72"/>
      <c r="N101" s="72"/>
      <c r="O101" s="72"/>
      <c r="P101" s="72"/>
      <c r="Q101" s="27"/>
      <c r="R101" s="72"/>
      <c r="S101" s="72"/>
      <c r="T101" s="72"/>
      <c r="U101" s="72"/>
      <c r="V101" s="27"/>
      <c r="W101" s="72"/>
      <c r="X101" s="72"/>
      <c r="Y101" s="72"/>
      <c r="Z101" s="72"/>
      <c r="AA101" s="27"/>
      <c r="AB101" s="72"/>
      <c r="AC101" s="72"/>
      <c r="AD101" s="72"/>
      <c r="AE101" s="72"/>
      <c r="AF101" s="27"/>
      <c r="AG101" s="72"/>
      <c r="AH101" s="72"/>
      <c r="AI101" s="72"/>
      <c r="AJ101" s="70"/>
      <c r="AK101" s="27"/>
      <c r="AL101" s="72"/>
      <c r="AM101" s="72"/>
      <c r="AN101" s="72"/>
      <c r="AO101" s="72"/>
      <c r="AP101" s="27"/>
      <c r="AQ101" s="72"/>
      <c r="AR101" s="72"/>
      <c r="AS101" s="72"/>
      <c r="AT101" s="72"/>
      <c r="AU101" s="27"/>
      <c r="AV101" s="72"/>
      <c r="AW101" s="72"/>
      <c r="AX101" s="72"/>
      <c r="AY101" s="72"/>
      <c r="AZ101" s="27"/>
      <c r="BA101" s="72"/>
      <c r="BB101" s="72"/>
      <c r="BC101" s="72"/>
      <c r="BD101" s="72"/>
      <c r="BE101" s="27"/>
    </row>
    <row r="102" spans="1:202">
      <c r="A102" s="71" t="s">
        <v>8</v>
      </c>
      <c r="B102" s="24"/>
      <c r="C102" s="73"/>
      <c r="D102" s="73"/>
      <c r="E102" s="73"/>
      <c r="F102" s="73"/>
      <c r="G102" s="24">
        <f>G100/B100-1</f>
        <v>-0.11293399465852727</v>
      </c>
      <c r="H102" s="73"/>
      <c r="I102" s="73"/>
      <c r="J102" s="73"/>
      <c r="K102" s="72"/>
      <c r="L102" s="24">
        <f>L100/G100-1</f>
        <v>5.1612903225806361E-2</v>
      </c>
      <c r="M102" s="73"/>
      <c r="N102" s="73"/>
      <c r="O102" s="73"/>
      <c r="P102" s="72"/>
      <c r="Q102" s="24">
        <v>-0.1361963190184049</v>
      </c>
      <c r="R102" s="73"/>
      <c r="S102" s="73"/>
      <c r="T102" s="73"/>
      <c r="U102" s="72"/>
      <c r="V102" s="24">
        <v>7.1022727272727293E-2</v>
      </c>
      <c r="W102" s="73"/>
      <c r="X102" s="73"/>
      <c r="Y102" s="73"/>
      <c r="Z102" s="72"/>
      <c r="AA102" s="24">
        <v>-7.0733863837312061E-2</v>
      </c>
      <c r="AB102" s="73"/>
      <c r="AC102" s="73"/>
      <c r="AD102" s="73"/>
      <c r="AE102" s="72"/>
      <c r="AF102" s="24">
        <v>-4.5195052331113206E-2</v>
      </c>
      <c r="AG102" s="73"/>
      <c r="AH102" s="73"/>
      <c r="AI102" s="73"/>
      <c r="AJ102" s="72"/>
      <c r="AK102" s="24">
        <v>-3.7369207772795177E-2</v>
      </c>
      <c r="AL102" s="73"/>
      <c r="AM102" s="73"/>
      <c r="AN102" s="73"/>
      <c r="AO102" s="72"/>
      <c r="AP102" s="24">
        <v>1.7598343685300222E-2</v>
      </c>
      <c r="AQ102" s="73"/>
      <c r="AR102" s="73"/>
      <c r="AS102" s="73"/>
      <c r="AT102" s="72"/>
      <c r="AU102" s="24">
        <v>-3.1027466937945114E-2</v>
      </c>
      <c r="AV102" s="73"/>
      <c r="AW102" s="73"/>
      <c r="AX102" s="73"/>
      <c r="AY102" s="72"/>
      <c r="AZ102" s="24">
        <v>-2.1522309711286103E-2</v>
      </c>
      <c r="BA102" s="73"/>
      <c r="BB102" s="73"/>
      <c r="BC102" s="73"/>
      <c r="BD102" s="72"/>
      <c r="BE102" s="24">
        <v>-0.1131974248927039</v>
      </c>
    </row>
    <row r="103" spans="1:202" ht="3.75" customHeight="1">
      <c r="A103" s="71"/>
      <c r="B103" s="24"/>
      <c r="C103" s="73"/>
      <c r="D103" s="73"/>
      <c r="E103" s="73"/>
      <c r="F103" s="73"/>
      <c r="G103" s="24"/>
      <c r="H103" s="73"/>
      <c r="I103" s="73"/>
      <c r="J103" s="73"/>
      <c r="K103" s="72"/>
      <c r="L103" s="24"/>
      <c r="M103" s="73"/>
      <c r="N103" s="73"/>
      <c r="O103" s="73"/>
      <c r="P103" s="72"/>
      <c r="Q103" s="24"/>
      <c r="R103" s="73"/>
      <c r="S103" s="73"/>
      <c r="T103" s="73"/>
      <c r="U103" s="72"/>
      <c r="V103" s="24"/>
      <c r="W103" s="73"/>
      <c r="X103" s="73"/>
      <c r="Y103" s="73"/>
      <c r="Z103" s="72"/>
      <c r="AA103" s="24"/>
      <c r="AB103" s="73"/>
      <c r="AC103" s="73"/>
      <c r="AD103" s="73"/>
      <c r="AE103" s="72"/>
      <c r="AF103" s="24"/>
      <c r="AG103" s="73"/>
      <c r="AH103" s="73"/>
      <c r="AI103" s="73"/>
      <c r="AJ103" s="72"/>
      <c r="AK103" s="24"/>
      <c r="AL103" s="73"/>
      <c r="AM103" s="73"/>
      <c r="AN103" s="73"/>
      <c r="AO103" s="72"/>
      <c r="AP103" s="24"/>
      <c r="AQ103" s="73"/>
      <c r="AR103" s="73"/>
      <c r="AS103" s="73"/>
      <c r="AT103" s="72"/>
      <c r="AU103" s="24"/>
      <c r="AV103" s="73"/>
      <c r="AW103" s="73"/>
      <c r="AX103" s="73"/>
      <c r="AY103" s="72"/>
      <c r="AZ103" s="24"/>
      <c r="BA103" s="73"/>
      <c r="BB103" s="73"/>
      <c r="BC103" s="73"/>
      <c r="BD103" s="72"/>
      <c r="BE103" s="24"/>
    </row>
    <row r="104" spans="1:202" ht="3.75" customHeight="1">
      <c r="A104" s="71"/>
      <c r="B104" s="24"/>
      <c r="C104" s="73"/>
      <c r="D104" s="73"/>
      <c r="E104" s="73"/>
      <c r="F104" s="73"/>
      <c r="G104" s="24"/>
      <c r="H104" s="73"/>
      <c r="I104" s="73"/>
      <c r="J104" s="73"/>
      <c r="K104" s="72"/>
      <c r="L104" s="24"/>
      <c r="M104" s="73"/>
      <c r="N104" s="73"/>
      <c r="O104" s="73"/>
      <c r="P104" s="72"/>
      <c r="Q104" s="24"/>
      <c r="R104" s="73"/>
      <c r="S104" s="73"/>
      <c r="T104" s="73"/>
      <c r="U104" s="72"/>
      <c r="V104" s="24"/>
      <c r="W104" s="73"/>
      <c r="X104" s="73"/>
      <c r="Y104" s="73"/>
      <c r="Z104" s="72"/>
      <c r="AA104" s="24"/>
      <c r="AB104" s="73"/>
      <c r="AC104" s="73"/>
      <c r="AD104" s="73"/>
      <c r="AE104" s="72"/>
      <c r="AF104" s="24"/>
      <c r="AG104" s="73"/>
      <c r="AH104" s="73"/>
      <c r="AI104" s="73"/>
      <c r="AJ104" s="72"/>
      <c r="AK104" s="24"/>
      <c r="AL104" s="73"/>
      <c r="AM104" s="73"/>
      <c r="AN104" s="73"/>
      <c r="AO104" s="72"/>
      <c r="AP104" s="24"/>
      <c r="AQ104" s="73"/>
      <c r="AR104" s="73"/>
      <c r="AS104" s="73"/>
      <c r="AT104" s="72"/>
      <c r="AU104" s="24"/>
      <c r="AV104" s="73"/>
      <c r="AW104" s="73"/>
      <c r="AX104" s="73"/>
      <c r="AY104" s="72"/>
      <c r="AZ104" s="24"/>
      <c r="BA104" s="73"/>
      <c r="BB104" s="73"/>
      <c r="BC104" s="73"/>
      <c r="BD104" s="72"/>
      <c r="BE104" s="24"/>
    </row>
    <row r="105" spans="1:202">
      <c r="A105" s="69" t="s">
        <v>168</v>
      </c>
      <c r="B105" s="99" t="s">
        <v>52</v>
      </c>
      <c r="C105" s="80" t="s">
        <v>52</v>
      </c>
      <c r="D105" s="80" t="s">
        <v>52</v>
      </c>
      <c r="E105" s="80" t="s">
        <v>52</v>
      </c>
      <c r="F105" s="80" t="s">
        <v>52</v>
      </c>
      <c r="G105" s="99" t="s">
        <v>52</v>
      </c>
      <c r="H105" s="78">
        <v>3.9E-2</v>
      </c>
      <c r="I105" s="78">
        <v>3.5999999999999997E-2</v>
      </c>
      <c r="J105" s="78">
        <v>3.4000000000000002E-2</v>
      </c>
      <c r="K105" s="78">
        <v>3.9E-2</v>
      </c>
      <c r="L105" s="39">
        <v>0.14799999999999999</v>
      </c>
      <c r="M105" s="78">
        <v>3.2000000000000001E-2</v>
      </c>
      <c r="N105" s="78">
        <v>2.9000000000000001E-2</v>
      </c>
      <c r="O105" s="78">
        <v>3.2000000000000001E-2</v>
      </c>
      <c r="P105" s="78">
        <v>3.5000000000000003E-2</v>
      </c>
      <c r="Q105" s="39">
        <v>0.127</v>
      </c>
      <c r="R105" s="78">
        <v>2.9000000000000001E-2</v>
      </c>
      <c r="S105" s="78">
        <v>2.8000000000000001E-2</v>
      </c>
      <c r="T105" s="78">
        <v>3.2000000000000001E-2</v>
      </c>
      <c r="U105" s="78">
        <v>3.6999999999999998E-2</v>
      </c>
      <c r="V105" s="39">
        <v>0.126</v>
      </c>
      <c r="W105" s="78">
        <v>4.2999999999999997E-2</v>
      </c>
      <c r="X105" s="78">
        <v>4.1000000000000002E-2</v>
      </c>
      <c r="Y105" s="78">
        <v>4.5999999999999999E-2</v>
      </c>
      <c r="Z105" s="78">
        <v>5.5E-2</v>
      </c>
      <c r="AA105" s="39">
        <v>0.184</v>
      </c>
      <c r="AB105" s="78">
        <v>4.2000000000000003E-2</v>
      </c>
      <c r="AC105" s="78">
        <v>4.4999999999999998E-2</v>
      </c>
      <c r="AD105" s="78">
        <v>4.7E-2</v>
      </c>
      <c r="AE105" s="78">
        <v>4.5999999999999999E-2</v>
      </c>
      <c r="AF105" s="39">
        <v>0.18</v>
      </c>
      <c r="AG105" s="78">
        <v>0.04</v>
      </c>
      <c r="AH105" s="78">
        <v>3.6999999999999998E-2</v>
      </c>
      <c r="AI105" s="78">
        <v>4.4999999999999998E-2</v>
      </c>
      <c r="AJ105" s="78">
        <v>4.7E-2</v>
      </c>
      <c r="AK105" s="39">
        <v>0.17</v>
      </c>
      <c r="AL105" s="78">
        <v>4.1000000000000002E-2</v>
      </c>
      <c r="AM105" s="125">
        <v>4.2000000000000003E-2</v>
      </c>
      <c r="AN105" s="78">
        <v>4.3999999999999997E-2</v>
      </c>
      <c r="AO105" s="78">
        <v>4.5999999999999999E-2</v>
      </c>
      <c r="AP105" s="39">
        <v>0.17299999999999999</v>
      </c>
      <c r="AQ105" s="78">
        <v>5.1999999999999998E-2</v>
      </c>
      <c r="AR105" s="125">
        <v>4.4999999999999998E-2</v>
      </c>
      <c r="AS105" s="125">
        <v>5.5E-2</v>
      </c>
      <c r="AT105" s="90">
        <v>5.1999999999999998E-2</v>
      </c>
      <c r="AU105" s="39">
        <v>0.20399999999999999</v>
      </c>
      <c r="AV105" s="78">
        <v>5.2999999999999999E-2</v>
      </c>
      <c r="AW105" s="78">
        <v>0.05</v>
      </c>
      <c r="AX105" s="78">
        <v>6.3E-2</v>
      </c>
      <c r="AY105" s="90">
        <v>6.8000000000000005E-2</v>
      </c>
      <c r="AZ105" s="39">
        <v>0.23400000000000001</v>
      </c>
      <c r="BA105" s="78">
        <v>0.06</v>
      </c>
      <c r="BB105" s="78">
        <v>0.06</v>
      </c>
      <c r="BC105" s="78">
        <v>5.8000000000000003E-2</v>
      </c>
      <c r="BD105" s="90">
        <v>7.7000000000000013E-2</v>
      </c>
      <c r="BE105" s="39">
        <v>0.255</v>
      </c>
    </row>
    <row r="106" spans="1:202" ht="6" customHeight="1">
      <c r="A106" s="69"/>
      <c r="B106" s="99"/>
      <c r="C106" s="80"/>
      <c r="D106" s="80"/>
      <c r="E106" s="80"/>
      <c r="F106" s="80"/>
      <c r="G106" s="99"/>
      <c r="H106" s="78"/>
      <c r="I106" s="78"/>
      <c r="J106" s="78"/>
      <c r="K106" s="78"/>
      <c r="L106" s="39"/>
      <c r="M106" s="78"/>
      <c r="N106" s="78"/>
      <c r="O106" s="78"/>
      <c r="P106" s="78"/>
      <c r="Q106" s="39"/>
      <c r="R106" s="78"/>
      <c r="S106" s="78"/>
      <c r="T106" s="78"/>
      <c r="U106" s="78"/>
      <c r="V106" s="39"/>
      <c r="W106" s="78"/>
      <c r="X106" s="78"/>
      <c r="Y106" s="78"/>
      <c r="Z106" s="78"/>
      <c r="AA106" s="39"/>
      <c r="AB106" s="78"/>
      <c r="AC106" s="78"/>
      <c r="AD106" s="78"/>
      <c r="AE106" s="78"/>
      <c r="AF106" s="39"/>
      <c r="AG106" s="78"/>
      <c r="AH106" s="78"/>
      <c r="AI106" s="78"/>
      <c r="AJ106" s="78"/>
      <c r="AK106" s="39"/>
      <c r="AL106" s="78"/>
      <c r="AM106" s="78"/>
      <c r="AN106" s="78"/>
      <c r="AO106" s="78"/>
      <c r="AP106" s="39"/>
      <c r="AQ106" s="78"/>
      <c r="AR106" s="78"/>
      <c r="AS106" s="78"/>
      <c r="AT106" s="78"/>
      <c r="AU106" s="39"/>
      <c r="AV106" s="78"/>
      <c r="AW106" s="78"/>
      <c r="AX106" s="78"/>
      <c r="AY106" s="78"/>
      <c r="AZ106" s="39"/>
      <c r="BA106" s="78"/>
      <c r="BB106" s="78"/>
      <c r="BC106" s="78"/>
      <c r="BD106" s="78"/>
      <c r="BE106" s="39"/>
    </row>
    <row r="107" spans="1:202" ht="12" customHeight="1">
      <c r="A107" s="69" t="s">
        <v>158</v>
      </c>
      <c r="B107" s="143">
        <v>0.36</v>
      </c>
      <c r="C107" s="143"/>
      <c r="D107" s="143"/>
      <c r="E107" s="143"/>
      <c r="F107" s="143"/>
      <c r="G107" s="143">
        <v>0.36</v>
      </c>
      <c r="H107" s="143"/>
      <c r="I107" s="143"/>
      <c r="J107" s="143"/>
      <c r="K107" s="143"/>
      <c r="L107" s="143">
        <v>0.36</v>
      </c>
      <c r="M107" s="143"/>
      <c r="N107" s="143"/>
      <c r="O107" s="143"/>
      <c r="P107" s="143"/>
      <c r="Q107" s="143">
        <v>0.35899999999999999</v>
      </c>
      <c r="R107" s="143"/>
      <c r="S107" s="143"/>
      <c r="T107" s="143"/>
      <c r="U107" s="143"/>
      <c r="V107" s="143">
        <v>0.375</v>
      </c>
      <c r="W107" s="143"/>
      <c r="X107" s="143"/>
      <c r="Y107" s="143"/>
      <c r="Z107" s="143"/>
      <c r="AA107" s="143">
        <v>0.38800000000000001</v>
      </c>
      <c r="AB107" s="143"/>
      <c r="AC107" s="143"/>
      <c r="AD107" s="143"/>
      <c r="AE107" s="143"/>
      <c r="AF107" s="143">
        <v>0.40600000000000003</v>
      </c>
      <c r="AG107" s="120" t="s">
        <v>44</v>
      </c>
      <c r="AH107" s="120" t="s">
        <v>44</v>
      </c>
      <c r="AI107" s="120" t="s">
        <v>44</v>
      </c>
      <c r="AJ107" s="120" t="s">
        <v>44</v>
      </c>
      <c r="AK107" s="167">
        <v>0.42</v>
      </c>
      <c r="AL107" s="120" t="s">
        <v>44</v>
      </c>
      <c r="AM107" s="120" t="s">
        <v>44</v>
      </c>
      <c r="AN107" s="120" t="s">
        <v>44</v>
      </c>
      <c r="AO107" s="120" t="s">
        <v>44</v>
      </c>
      <c r="AP107" s="167">
        <v>0.44</v>
      </c>
      <c r="AQ107" s="120" t="s">
        <v>44</v>
      </c>
      <c r="AR107" s="120" t="s">
        <v>44</v>
      </c>
      <c r="AS107" s="120" t="s">
        <v>44</v>
      </c>
      <c r="AT107" s="120" t="s">
        <v>44</v>
      </c>
      <c r="AU107" s="167">
        <v>0.44</v>
      </c>
      <c r="AV107" s="120" t="s">
        <v>44</v>
      </c>
      <c r="AW107" s="120" t="s">
        <v>44</v>
      </c>
      <c r="AX107" s="78">
        <v>0.42099999999999999</v>
      </c>
      <c r="AY107" s="120" t="s">
        <v>44</v>
      </c>
      <c r="AZ107" s="221" t="s">
        <v>44</v>
      </c>
      <c r="BA107" s="120" t="s">
        <v>44</v>
      </c>
      <c r="BB107" s="120" t="s">
        <v>44</v>
      </c>
      <c r="BC107" s="78">
        <v>0.38200000000000001</v>
      </c>
      <c r="BD107" s="120" t="s">
        <v>44</v>
      </c>
      <c r="BE107" s="221" t="s">
        <v>44</v>
      </c>
    </row>
    <row r="108" spans="1:202" ht="3.75" customHeight="1">
      <c r="A108" s="69"/>
      <c r="B108" s="143"/>
      <c r="C108" s="143"/>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20"/>
      <c r="AH108" s="120"/>
      <c r="AI108" s="120"/>
      <c r="AJ108" s="120"/>
      <c r="AK108" s="167"/>
      <c r="AL108" s="120"/>
      <c r="AM108" s="120"/>
      <c r="AN108" s="120"/>
      <c r="AO108" s="120"/>
      <c r="AP108" s="167"/>
      <c r="AQ108" s="120"/>
      <c r="AR108" s="120"/>
      <c r="AS108" s="120"/>
      <c r="AT108" s="120"/>
      <c r="AU108" s="167"/>
      <c r="AV108" s="120"/>
      <c r="AW108" s="120"/>
      <c r="AX108" s="120"/>
      <c r="AY108" s="120"/>
      <c r="AZ108" s="167"/>
      <c r="BA108" s="120"/>
      <c r="BB108" s="120"/>
      <c r="BC108" s="120"/>
      <c r="BD108" s="120"/>
      <c r="BE108" s="167"/>
    </row>
    <row r="109" spans="1:202">
      <c r="A109" s="69" t="s">
        <v>159</v>
      </c>
      <c r="B109" s="143">
        <v>0.36</v>
      </c>
      <c r="C109" s="143"/>
      <c r="D109" s="143"/>
      <c r="E109" s="143"/>
      <c r="F109" s="143"/>
      <c r="G109" s="143">
        <v>0.36</v>
      </c>
      <c r="H109" s="143"/>
      <c r="I109" s="143"/>
      <c r="J109" s="143"/>
      <c r="K109" s="143"/>
      <c r="L109" s="143">
        <v>0.31</v>
      </c>
      <c r="M109" s="143"/>
      <c r="N109" s="143"/>
      <c r="O109" s="143"/>
      <c r="P109" s="143"/>
      <c r="Q109" s="143">
        <v>0.307</v>
      </c>
      <c r="R109" s="143"/>
      <c r="S109" s="143"/>
      <c r="T109" s="143"/>
      <c r="U109" s="143"/>
      <c r="V109" s="143">
        <v>0.3</v>
      </c>
      <c r="W109" s="143"/>
      <c r="X109" s="143"/>
      <c r="Y109" s="143"/>
      <c r="Z109" s="143"/>
      <c r="AA109" s="143">
        <v>0.246</v>
      </c>
      <c r="AB109" s="143"/>
      <c r="AC109" s="143"/>
      <c r="AD109" s="143"/>
      <c r="AE109" s="143"/>
      <c r="AF109" s="143">
        <v>0.21199999999999999</v>
      </c>
      <c r="AG109" s="120" t="s">
        <v>44</v>
      </c>
      <c r="AH109" s="120" t="s">
        <v>44</v>
      </c>
      <c r="AI109" s="120" t="s">
        <v>44</v>
      </c>
      <c r="AJ109" s="120" t="s">
        <v>44</v>
      </c>
      <c r="AK109" s="167">
        <v>0.23</v>
      </c>
      <c r="AL109" s="120" t="s">
        <v>44</v>
      </c>
      <c r="AM109" s="120" t="s">
        <v>44</v>
      </c>
      <c r="AN109" s="120" t="s">
        <v>44</v>
      </c>
      <c r="AO109" s="120" t="s">
        <v>44</v>
      </c>
      <c r="AP109" s="167">
        <v>0.21</v>
      </c>
      <c r="AQ109" s="120" t="s">
        <v>44</v>
      </c>
      <c r="AR109" s="120" t="s">
        <v>44</v>
      </c>
      <c r="AS109" s="120" t="s">
        <v>44</v>
      </c>
      <c r="AT109" s="120" t="s">
        <v>44</v>
      </c>
      <c r="AU109" s="167">
        <v>0.21</v>
      </c>
      <c r="AV109" s="120" t="s">
        <v>44</v>
      </c>
      <c r="AW109" s="120" t="s">
        <v>44</v>
      </c>
      <c r="AX109" s="120" t="s">
        <v>44</v>
      </c>
      <c r="AY109" s="120" t="s">
        <v>44</v>
      </c>
      <c r="AZ109" s="143">
        <v>0.25600000000000001</v>
      </c>
      <c r="BA109" s="120" t="s">
        <v>44</v>
      </c>
      <c r="BB109" s="120" t="s">
        <v>44</v>
      </c>
      <c r="BC109" s="120" t="s">
        <v>44</v>
      </c>
      <c r="BD109" s="120" t="s">
        <v>44</v>
      </c>
      <c r="BE109" s="143">
        <v>0.23300000000000001</v>
      </c>
    </row>
    <row r="110" spans="1:202" s="46" customFormat="1" ht="3.75" customHeight="1">
      <c r="A110" s="94"/>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row>
    <row r="111" spans="1:202" s="26" customFormat="1" ht="21">
      <c r="A111" s="35" t="s">
        <v>21</v>
      </c>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row>
    <row r="112" spans="1:202">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row>
    <row r="113" spans="1:202" s="43" customFormat="1" ht="12" customHeight="1">
      <c r="A113" s="40" t="s">
        <v>27</v>
      </c>
      <c r="B113" s="41"/>
      <c r="C113" s="42"/>
      <c r="D113" s="42"/>
      <c r="E113" s="42"/>
      <c r="F113" s="42"/>
      <c r="G113" s="41"/>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1"/>
      <c r="BG113" s="1"/>
      <c r="BH113" s="1"/>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row>
    <row r="114" spans="1:202" s="34" customFormat="1">
      <c r="A114" s="69"/>
      <c r="B114" s="29"/>
      <c r="C114" s="69"/>
      <c r="D114" s="69"/>
      <c r="E114" s="69"/>
      <c r="F114" s="69"/>
      <c r="G114" s="29"/>
      <c r="H114" s="69"/>
      <c r="I114" s="69"/>
      <c r="J114" s="69"/>
      <c r="K114" s="69"/>
      <c r="L114" s="21"/>
      <c r="M114" s="69"/>
      <c r="N114" s="69"/>
      <c r="O114" s="69"/>
      <c r="P114" s="69"/>
      <c r="Q114" s="21"/>
      <c r="R114" s="69"/>
      <c r="S114" s="69"/>
      <c r="T114" s="69"/>
      <c r="U114" s="69"/>
      <c r="V114" s="21"/>
      <c r="W114" s="69"/>
      <c r="X114" s="69"/>
      <c r="Y114" s="69"/>
      <c r="Z114" s="69"/>
      <c r="AA114" s="21"/>
      <c r="AB114" s="69"/>
      <c r="AC114" s="69"/>
      <c r="AD114" s="69"/>
      <c r="AE114" s="69"/>
      <c r="AF114" s="21"/>
      <c r="AG114" s="69"/>
      <c r="AH114" s="69"/>
      <c r="AI114" s="69"/>
      <c r="AJ114" s="69"/>
      <c r="AK114" s="21"/>
      <c r="AL114" s="69"/>
      <c r="AM114" s="69"/>
      <c r="AN114" s="69"/>
      <c r="AO114" s="69"/>
      <c r="AP114" s="21"/>
      <c r="AQ114" s="69"/>
      <c r="AR114" s="69"/>
      <c r="AS114" s="69"/>
      <c r="AT114" s="69"/>
      <c r="AU114" s="21"/>
      <c r="AV114" s="69"/>
      <c r="AW114" s="69"/>
      <c r="AX114" s="69"/>
      <c r="AY114" s="69"/>
      <c r="AZ114" s="21"/>
      <c r="BA114" s="69"/>
      <c r="BB114" s="69"/>
      <c r="BC114" s="69"/>
      <c r="BD114" s="69"/>
      <c r="BE114" s="21"/>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row>
    <row r="115" spans="1:202" s="2" customFormat="1">
      <c r="A115" s="69" t="s">
        <v>74</v>
      </c>
      <c r="B115" s="29">
        <v>549</v>
      </c>
      <c r="C115" s="69">
        <v>549</v>
      </c>
      <c r="D115" s="69">
        <v>551</v>
      </c>
      <c r="E115" s="69">
        <v>556</v>
      </c>
      <c r="F115" s="69">
        <v>560</v>
      </c>
      <c r="G115" s="29">
        <v>560</v>
      </c>
      <c r="H115" s="69">
        <v>560</v>
      </c>
      <c r="I115" s="69">
        <v>562</v>
      </c>
      <c r="J115" s="69">
        <v>567</v>
      </c>
      <c r="K115" s="70">
        <v>571</v>
      </c>
      <c r="L115" s="28">
        <v>571</v>
      </c>
      <c r="M115" s="69">
        <v>571</v>
      </c>
      <c r="N115" s="69">
        <v>573</v>
      </c>
      <c r="O115" s="69">
        <v>575</v>
      </c>
      <c r="P115" s="70">
        <v>578</v>
      </c>
      <c r="Q115" s="28">
        <v>578</v>
      </c>
      <c r="R115" s="69">
        <v>580</v>
      </c>
      <c r="S115" s="69">
        <v>581</v>
      </c>
      <c r="T115" s="69">
        <v>585</v>
      </c>
      <c r="U115" s="70">
        <v>586</v>
      </c>
      <c r="V115" s="28">
        <v>586</v>
      </c>
      <c r="W115" s="69">
        <v>585</v>
      </c>
      <c r="X115" s="69">
        <v>582</v>
      </c>
      <c r="Y115" s="69">
        <v>581</v>
      </c>
      <c r="Z115" s="70">
        <v>578</v>
      </c>
      <c r="AA115" s="28">
        <v>578</v>
      </c>
      <c r="AB115" s="69">
        <v>578</v>
      </c>
      <c r="AC115" s="69">
        <v>583</v>
      </c>
      <c r="AD115" s="69">
        <v>593</v>
      </c>
      <c r="AE115" s="70">
        <v>600</v>
      </c>
      <c r="AF115" s="28">
        <v>600</v>
      </c>
      <c r="AG115" s="69">
        <v>605</v>
      </c>
      <c r="AH115" s="69">
        <v>611</v>
      </c>
      <c r="AI115" s="69">
        <v>622</v>
      </c>
      <c r="AJ115" s="70">
        <v>630</v>
      </c>
      <c r="AK115" s="28">
        <v>630</v>
      </c>
      <c r="AL115" s="69">
        <v>632</v>
      </c>
      <c r="AM115" s="69">
        <v>636</v>
      </c>
      <c r="AN115" s="69">
        <v>637</v>
      </c>
      <c r="AO115" s="70">
        <v>635</v>
      </c>
      <c r="AP115" s="28">
        <v>635</v>
      </c>
      <c r="AQ115" s="69">
        <v>629</v>
      </c>
      <c r="AR115" s="69">
        <v>623</v>
      </c>
      <c r="AS115" s="69">
        <v>618</v>
      </c>
      <c r="AT115" s="70">
        <v>614</v>
      </c>
      <c r="AU115" s="28">
        <v>614</v>
      </c>
      <c r="AV115" s="69">
        <v>608</v>
      </c>
      <c r="AW115" s="69">
        <v>603</v>
      </c>
      <c r="AX115" s="69">
        <v>597</v>
      </c>
      <c r="AY115" s="70">
        <v>587</v>
      </c>
      <c r="AZ115" s="28">
        <v>587</v>
      </c>
      <c r="BA115" s="69">
        <v>580</v>
      </c>
      <c r="BB115" s="36">
        <v>582</v>
      </c>
      <c r="BC115" s="36">
        <v>584</v>
      </c>
      <c r="BD115" s="147">
        <v>574</v>
      </c>
      <c r="BE115" s="225">
        <v>574</v>
      </c>
      <c r="BF115" s="3"/>
      <c r="BG115" s="3"/>
      <c r="BH115" s="3"/>
      <c r="BI115" s="36"/>
      <c r="BJ115" s="36"/>
      <c r="BK115" s="36"/>
      <c r="BL115" s="36"/>
      <c r="BM115" s="36"/>
      <c r="BN115" s="36"/>
      <c r="BO115" s="36"/>
      <c r="BP115" s="36"/>
      <c r="BQ115" s="36"/>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36"/>
      <c r="CY115" s="36"/>
      <c r="CZ115" s="36"/>
      <c r="DA115" s="36"/>
      <c r="DB115" s="36"/>
      <c r="DC115" s="36"/>
      <c r="DD115" s="36"/>
      <c r="DE115" s="36"/>
      <c r="DF115" s="36"/>
      <c r="DG115" s="36"/>
      <c r="DH115" s="36"/>
      <c r="DI115" s="36"/>
      <c r="DJ115" s="36"/>
      <c r="DK115" s="36"/>
      <c r="DL115" s="36"/>
      <c r="DM115" s="36"/>
      <c r="DN115" s="36"/>
      <c r="DO115" s="36"/>
      <c r="DP115" s="36"/>
      <c r="DQ115" s="36"/>
      <c r="DR115" s="36"/>
      <c r="DS115" s="36"/>
      <c r="DT115" s="36"/>
      <c r="DU115" s="36"/>
      <c r="DV115" s="36"/>
      <c r="DW115" s="36"/>
      <c r="DX115" s="36"/>
      <c r="DY115" s="36"/>
      <c r="DZ115" s="36"/>
      <c r="EA115" s="36"/>
      <c r="EB115" s="36"/>
      <c r="EC115" s="36"/>
      <c r="ED115" s="36"/>
      <c r="EE115" s="36"/>
      <c r="EF115" s="36"/>
      <c r="EG115" s="36"/>
      <c r="EH115" s="36"/>
      <c r="EI115" s="36"/>
      <c r="EJ115" s="36"/>
      <c r="EK115" s="36"/>
      <c r="EL115" s="36"/>
      <c r="EM115" s="36"/>
      <c r="EN115" s="36"/>
      <c r="EO115" s="36"/>
      <c r="EP115" s="36"/>
      <c r="EQ115" s="36"/>
      <c r="ER115" s="36"/>
      <c r="ES115" s="36"/>
      <c r="ET115" s="36"/>
      <c r="EU115" s="36"/>
      <c r="EV115" s="36"/>
      <c r="EW115" s="36"/>
      <c r="EX115" s="36"/>
      <c r="EY115" s="36"/>
      <c r="EZ115" s="36"/>
      <c r="FA115" s="36"/>
      <c r="FB115" s="36"/>
      <c r="FC115" s="36"/>
      <c r="FD115" s="36"/>
      <c r="FE115" s="36"/>
      <c r="FF115" s="36"/>
      <c r="FG115" s="36"/>
      <c r="FH115" s="36"/>
      <c r="FI115" s="36"/>
      <c r="FJ115" s="36"/>
      <c r="FK115" s="36"/>
      <c r="FL115" s="36"/>
      <c r="FM115" s="36"/>
      <c r="FN115" s="36"/>
      <c r="FO115" s="36"/>
      <c r="FP115" s="36"/>
      <c r="FQ115" s="36"/>
      <c r="FR115" s="36"/>
      <c r="FS115" s="36"/>
      <c r="FT115" s="36"/>
      <c r="FU115" s="36"/>
      <c r="FV115" s="36"/>
      <c r="FW115" s="36"/>
      <c r="FX115" s="36"/>
      <c r="FY115" s="36"/>
      <c r="FZ115" s="36"/>
      <c r="GA115" s="36"/>
      <c r="GB115" s="36"/>
      <c r="GC115" s="36"/>
      <c r="GD115" s="36"/>
      <c r="GE115" s="36"/>
      <c r="GF115" s="36"/>
      <c r="GG115" s="36"/>
      <c r="GH115" s="36"/>
      <c r="GI115" s="36"/>
      <c r="GJ115" s="36"/>
      <c r="GK115" s="36"/>
      <c r="GL115" s="36"/>
      <c r="GM115" s="36"/>
      <c r="GN115" s="36"/>
      <c r="GO115" s="36"/>
      <c r="GP115" s="36"/>
      <c r="GQ115" s="36"/>
      <c r="GR115" s="36"/>
      <c r="GS115" s="36"/>
      <c r="GT115" s="36"/>
    </row>
    <row r="116" spans="1:202">
      <c r="A116" s="71" t="s">
        <v>7</v>
      </c>
      <c r="B116" s="24"/>
      <c r="C116" s="72"/>
      <c r="D116" s="72">
        <f>D115/C115-1</f>
        <v>3.6429872495447047E-3</v>
      </c>
      <c r="E116" s="72">
        <f>E115/D115-1</f>
        <v>9.0744101633393193E-3</v>
      </c>
      <c r="F116" s="72">
        <f>F115/E115-1</f>
        <v>7.194244604316502E-3</v>
      </c>
      <c r="G116" s="24"/>
      <c r="H116" s="72">
        <f>H115/F115-1</f>
        <v>0</v>
      </c>
      <c r="I116" s="72">
        <f>I115/H115-1</f>
        <v>3.5714285714285587E-3</v>
      </c>
      <c r="J116" s="72">
        <f>J115/I115-1</f>
        <v>8.8967971530249379E-3</v>
      </c>
      <c r="K116" s="72">
        <f>K115/J115-1</f>
        <v>7.0546737213403876E-3</v>
      </c>
      <c r="L116" s="27"/>
      <c r="M116" s="72">
        <f>M115/K115-1</f>
        <v>0</v>
      </c>
      <c r="N116" s="72">
        <f>N115/M115-1</f>
        <v>3.5026269702276291E-3</v>
      </c>
      <c r="O116" s="72">
        <f>O115/N115-1</f>
        <v>3.4904013961605251E-3</v>
      </c>
      <c r="P116" s="72">
        <f>P115/O115-1</f>
        <v>5.2173913043478404E-3</v>
      </c>
      <c r="Q116" s="27"/>
      <c r="R116" s="72">
        <v>3.4602076124568004E-3</v>
      </c>
      <c r="S116" s="72">
        <v>1.7241379310344307E-3</v>
      </c>
      <c r="T116" s="72">
        <v>6.8846815834766595E-3</v>
      </c>
      <c r="U116" s="72">
        <v>1.7094017094017033E-3</v>
      </c>
      <c r="V116" s="27"/>
      <c r="W116" s="72">
        <v>-1.7064846416382506E-3</v>
      </c>
      <c r="X116" s="72">
        <v>-5.12820512820511E-3</v>
      </c>
      <c r="Y116" s="72">
        <v>-1.7182130584192379E-3</v>
      </c>
      <c r="Z116" s="72">
        <v>-5.1635111876076056E-3</v>
      </c>
      <c r="AA116" s="27"/>
      <c r="AB116" s="72">
        <v>0</v>
      </c>
      <c r="AC116" s="72">
        <v>8.65051903114189E-3</v>
      </c>
      <c r="AD116" s="72">
        <v>1.7152658662092701E-2</v>
      </c>
      <c r="AE116" s="72">
        <v>1.180438448566612E-2</v>
      </c>
      <c r="AF116" s="27"/>
      <c r="AG116" s="72">
        <v>8.3333333333333037E-3</v>
      </c>
      <c r="AH116" s="72">
        <v>9.917355371900749E-3</v>
      </c>
      <c r="AI116" s="72">
        <v>1.8003273322422242E-2</v>
      </c>
      <c r="AJ116" s="72">
        <v>1.2861736334405238E-2</v>
      </c>
      <c r="AK116" s="27"/>
      <c r="AL116" s="72">
        <v>3.1746031746031633E-3</v>
      </c>
      <c r="AM116" s="72">
        <v>6.3291139240506666E-3</v>
      </c>
      <c r="AN116" s="72">
        <v>1.5723270440251014E-3</v>
      </c>
      <c r="AO116" s="72">
        <v>-3.1397174254317317E-3</v>
      </c>
      <c r="AP116" s="27"/>
      <c r="AQ116" s="72">
        <v>-9.4488188976378229E-3</v>
      </c>
      <c r="AR116" s="72">
        <v>-9.5389507154213238E-3</v>
      </c>
      <c r="AS116" s="72">
        <v>-8.0256821829856051E-3</v>
      </c>
      <c r="AT116" s="72">
        <v>-6.4724919093851474E-3</v>
      </c>
      <c r="AU116" s="27"/>
      <c r="AV116" s="72">
        <v>-9.7719869706840434E-3</v>
      </c>
      <c r="AW116" s="72">
        <v>-8.2236842105263275E-3</v>
      </c>
      <c r="AX116" s="72">
        <v>-9.9502487562188602E-3</v>
      </c>
      <c r="AY116" s="72">
        <v>-1.675041876046901E-2</v>
      </c>
      <c r="AZ116" s="27"/>
      <c r="BA116" s="72">
        <v>-1.1925042589437829E-2</v>
      </c>
      <c r="BB116" s="165">
        <v>3.4482758620688614E-3</v>
      </c>
      <c r="BC116" s="165">
        <v>3.4364261168384758E-3</v>
      </c>
      <c r="BD116" s="165">
        <v>-1.7123287671232834E-2</v>
      </c>
      <c r="BE116" s="27"/>
    </row>
    <row r="117" spans="1:202">
      <c r="A117" s="71" t="s">
        <v>8</v>
      </c>
      <c r="B117" s="24"/>
      <c r="C117" s="73"/>
      <c r="D117" s="73"/>
      <c r="E117" s="73"/>
      <c r="F117" s="73"/>
      <c r="G117" s="24">
        <f t="shared" ref="G117:N117" si="25">G115/B115-1</f>
        <v>2.0036429872495543E-2</v>
      </c>
      <c r="H117" s="73">
        <f t="shared" si="25"/>
        <v>2.0036429872495543E-2</v>
      </c>
      <c r="I117" s="73">
        <f t="shared" si="25"/>
        <v>1.9963702359346636E-2</v>
      </c>
      <c r="J117" s="73">
        <f t="shared" si="25"/>
        <v>1.9784172661870603E-2</v>
      </c>
      <c r="K117" s="72">
        <f t="shared" si="25"/>
        <v>1.9642857142857073E-2</v>
      </c>
      <c r="L117" s="24">
        <f t="shared" si="25"/>
        <v>1.9642857142857073E-2</v>
      </c>
      <c r="M117" s="73">
        <f t="shared" si="25"/>
        <v>1.9642857142857073E-2</v>
      </c>
      <c r="N117" s="73">
        <f t="shared" si="25"/>
        <v>1.9572953736654908E-2</v>
      </c>
      <c r="O117" s="73">
        <f t="shared" ref="O117:P117" si="26">O115/J115-1</f>
        <v>1.4109347442680775E-2</v>
      </c>
      <c r="P117" s="72">
        <f t="shared" si="26"/>
        <v>1.2259194395796813E-2</v>
      </c>
      <c r="Q117" s="24">
        <v>1.2259194395796813E-2</v>
      </c>
      <c r="R117" s="73">
        <v>1.5761821366024442E-2</v>
      </c>
      <c r="S117" s="73">
        <v>1.3961605584642323E-2</v>
      </c>
      <c r="T117" s="73">
        <v>1.7391304347825987E-2</v>
      </c>
      <c r="U117" s="72">
        <v>1.384083044982698E-2</v>
      </c>
      <c r="V117" s="24">
        <v>1.384083044982698E-2</v>
      </c>
      <c r="W117" s="73">
        <v>8.6206896551723755E-3</v>
      </c>
      <c r="X117" s="73">
        <v>1.7211703958692759E-3</v>
      </c>
      <c r="Y117" s="73">
        <v>-6.8376068376068133E-3</v>
      </c>
      <c r="Z117" s="72">
        <v>-1.3651877133105783E-2</v>
      </c>
      <c r="AA117" s="24">
        <v>-1.3651877133105783E-2</v>
      </c>
      <c r="AB117" s="73">
        <v>-1.1965811965811923E-2</v>
      </c>
      <c r="AC117" s="73">
        <v>1.7182130584192379E-3</v>
      </c>
      <c r="AD117" s="73">
        <v>2.06540447504302E-2</v>
      </c>
      <c r="AE117" s="72">
        <v>3.8062283737024138E-2</v>
      </c>
      <c r="AF117" s="24">
        <v>3.8062283737024138E-2</v>
      </c>
      <c r="AG117" s="73">
        <v>4.6712802768166028E-2</v>
      </c>
      <c r="AH117" s="73">
        <v>4.8027444253859297E-2</v>
      </c>
      <c r="AI117" s="73">
        <v>4.8903878583473892E-2</v>
      </c>
      <c r="AJ117" s="72">
        <v>5.0000000000000044E-2</v>
      </c>
      <c r="AK117" s="24">
        <v>5.0000000000000044E-2</v>
      </c>
      <c r="AL117" s="73">
        <v>4.4628099173553704E-2</v>
      </c>
      <c r="AM117" s="73">
        <v>4.0916530278232388E-2</v>
      </c>
      <c r="AN117" s="73">
        <v>2.4115755627009738E-2</v>
      </c>
      <c r="AO117" s="72">
        <v>7.9365079365079083E-3</v>
      </c>
      <c r="AP117" s="24">
        <v>7.9365079365079083E-3</v>
      </c>
      <c r="AQ117" s="73">
        <v>-4.746835443038E-3</v>
      </c>
      <c r="AR117" s="73">
        <v>-2.0440251572327095E-2</v>
      </c>
      <c r="AS117" s="73">
        <v>-2.9827315541601229E-2</v>
      </c>
      <c r="AT117" s="72">
        <v>-3.3070866141732269E-2</v>
      </c>
      <c r="AU117" s="24">
        <v>-3.3070866141732269E-2</v>
      </c>
      <c r="AV117" s="73">
        <v>-3.3386327503974522E-2</v>
      </c>
      <c r="AW117" s="73">
        <v>-3.2102728731942198E-2</v>
      </c>
      <c r="AX117" s="73">
        <v>-3.398058252427183E-2</v>
      </c>
      <c r="AY117" s="72">
        <v>-4.3973941368078195E-2</v>
      </c>
      <c r="AZ117" s="24">
        <v>-4.3973941368078195E-2</v>
      </c>
      <c r="BA117" s="73">
        <v>-4.6052631578947345E-2</v>
      </c>
      <c r="BB117" s="164">
        <v>-3.4825870646766122E-2</v>
      </c>
      <c r="BC117" s="164">
        <v>-2.1775544388609736E-2</v>
      </c>
      <c r="BD117" s="165">
        <v>-2.2146507666098825E-2</v>
      </c>
      <c r="BE117" s="24">
        <v>-2.2146507666098825E-2</v>
      </c>
    </row>
    <row r="118" spans="1:202" ht="11.7" customHeight="1">
      <c r="A118" s="71" t="s">
        <v>214</v>
      </c>
      <c r="B118" s="24"/>
      <c r="C118" s="73"/>
      <c r="D118" s="73"/>
      <c r="E118" s="73"/>
      <c r="F118" s="73"/>
      <c r="G118" s="24"/>
      <c r="H118" s="73"/>
      <c r="I118" s="73"/>
      <c r="J118" s="73"/>
      <c r="K118" s="72"/>
      <c r="L118" s="24"/>
      <c r="M118" s="73"/>
      <c r="N118" s="73"/>
      <c r="O118" s="73"/>
      <c r="P118" s="72"/>
      <c r="Q118" s="24"/>
      <c r="R118" s="73"/>
      <c r="S118" s="73"/>
      <c r="T118" s="73"/>
      <c r="U118" s="72"/>
      <c r="V118" s="24"/>
      <c r="W118" s="73"/>
      <c r="X118" s="73"/>
      <c r="Y118" s="73"/>
      <c r="Z118" s="72"/>
      <c r="AA118" s="24"/>
      <c r="AB118" s="73"/>
      <c r="AC118" s="73"/>
      <c r="AD118" s="73"/>
      <c r="AE118" s="72"/>
      <c r="AF118" s="24"/>
      <c r="AG118" s="73"/>
      <c r="AH118" s="73"/>
      <c r="AI118" s="73"/>
      <c r="AJ118" s="72"/>
      <c r="AK118" s="24"/>
      <c r="AL118" s="73"/>
      <c r="AM118" s="197">
        <v>4</v>
      </c>
      <c r="AN118" s="197">
        <v>1</v>
      </c>
      <c r="AO118" s="197">
        <v>-2</v>
      </c>
      <c r="AP118" s="198"/>
      <c r="AQ118" s="199">
        <v>-6</v>
      </c>
      <c r="AR118" s="199">
        <v>-6</v>
      </c>
      <c r="AS118" s="199">
        <v>-5</v>
      </c>
      <c r="AT118" s="199">
        <v>-4</v>
      </c>
      <c r="AU118" s="200">
        <v>-21</v>
      </c>
      <c r="AV118" s="199">
        <v>-6</v>
      </c>
      <c r="AW118" s="199">
        <v>-5</v>
      </c>
      <c r="AX118" s="199">
        <v>-6</v>
      </c>
      <c r="AY118" s="199">
        <v>-10</v>
      </c>
      <c r="AZ118" s="200">
        <v>-27</v>
      </c>
      <c r="BA118" s="199">
        <v>-7</v>
      </c>
      <c r="BB118" s="199">
        <v>2</v>
      </c>
      <c r="BC118" s="199">
        <v>2</v>
      </c>
      <c r="BD118" s="199">
        <v>-10</v>
      </c>
      <c r="BE118" s="200">
        <v>-13</v>
      </c>
    </row>
    <row r="119" spans="1:202" ht="8.25" customHeight="1">
      <c r="A119" s="71"/>
      <c r="B119" s="24"/>
      <c r="C119" s="73"/>
      <c r="D119" s="73"/>
      <c r="E119" s="73"/>
      <c r="F119" s="73"/>
      <c r="G119" s="24"/>
      <c r="H119" s="73"/>
      <c r="I119" s="73"/>
      <c r="J119" s="73"/>
      <c r="K119" s="72"/>
      <c r="L119" s="24"/>
      <c r="M119" s="73"/>
      <c r="N119" s="73"/>
      <c r="O119" s="73"/>
      <c r="P119" s="72"/>
      <c r="Q119" s="24"/>
      <c r="R119" s="73"/>
      <c r="S119" s="73"/>
      <c r="T119" s="73"/>
      <c r="U119" s="72"/>
      <c r="V119" s="24"/>
      <c r="W119" s="73"/>
      <c r="X119" s="73"/>
      <c r="Y119" s="73"/>
      <c r="Z119" s="72"/>
      <c r="AA119" s="24"/>
      <c r="AB119" s="73"/>
      <c r="AC119" s="73"/>
      <c r="AD119" s="73"/>
      <c r="AE119" s="72"/>
      <c r="AF119" s="24"/>
      <c r="AG119" s="73"/>
      <c r="AH119" s="73"/>
      <c r="AI119" s="73"/>
      <c r="AJ119" s="72"/>
      <c r="AK119" s="24"/>
      <c r="AL119" s="73"/>
      <c r="AM119" s="83"/>
      <c r="AN119" s="83"/>
      <c r="AO119" s="72"/>
      <c r="AP119" s="24"/>
      <c r="AQ119" s="73"/>
      <c r="AR119" s="83"/>
      <c r="AS119" s="83"/>
      <c r="AT119" s="72"/>
      <c r="AU119" s="24"/>
      <c r="AV119" s="73"/>
      <c r="AW119" s="73"/>
      <c r="AX119" s="73"/>
      <c r="AY119" s="72"/>
      <c r="AZ119" s="24"/>
      <c r="BA119" s="73"/>
      <c r="BB119" s="164"/>
      <c r="BC119" s="164"/>
      <c r="BD119" s="165"/>
      <c r="BE119" s="24"/>
    </row>
    <row r="120" spans="1:202">
      <c r="A120" s="69" t="s">
        <v>75</v>
      </c>
      <c r="B120" s="38">
        <v>217</v>
      </c>
      <c r="C120" s="69">
        <v>231</v>
      </c>
      <c r="D120" s="69">
        <v>230</v>
      </c>
      <c r="E120" s="69">
        <v>226</v>
      </c>
      <c r="F120" s="69">
        <v>225</v>
      </c>
      <c r="G120" s="38">
        <v>228</v>
      </c>
      <c r="H120" s="69">
        <v>228</v>
      </c>
      <c r="I120" s="69">
        <v>224</v>
      </c>
      <c r="J120" s="69">
        <v>224</v>
      </c>
      <c r="K120" s="70">
        <v>229</v>
      </c>
      <c r="L120" s="28">
        <v>226</v>
      </c>
      <c r="M120" s="69">
        <v>229</v>
      </c>
      <c r="N120" s="69">
        <v>231</v>
      </c>
      <c r="O120" s="69">
        <v>229</v>
      </c>
      <c r="P120" s="70">
        <v>231</v>
      </c>
      <c r="Q120" s="28">
        <v>230</v>
      </c>
      <c r="R120" s="69">
        <v>234</v>
      </c>
      <c r="S120" s="69">
        <v>232</v>
      </c>
      <c r="T120" s="69">
        <v>232</v>
      </c>
      <c r="U120" s="70">
        <v>229</v>
      </c>
      <c r="V120" s="28">
        <v>232</v>
      </c>
      <c r="W120" s="69">
        <v>237</v>
      </c>
      <c r="X120" s="69">
        <v>234</v>
      </c>
      <c r="Y120" s="69">
        <v>231</v>
      </c>
      <c r="Z120" s="70">
        <v>234</v>
      </c>
      <c r="AA120" s="28">
        <v>234</v>
      </c>
      <c r="AB120" s="69">
        <v>233</v>
      </c>
      <c r="AC120" s="69">
        <v>232</v>
      </c>
      <c r="AD120" s="69">
        <v>233</v>
      </c>
      <c r="AE120" s="70">
        <v>233</v>
      </c>
      <c r="AF120" s="28">
        <v>233</v>
      </c>
      <c r="AG120" s="69">
        <v>234</v>
      </c>
      <c r="AH120" s="69">
        <v>234</v>
      </c>
      <c r="AI120" s="69">
        <v>234</v>
      </c>
      <c r="AJ120" s="70">
        <v>234</v>
      </c>
      <c r="AK120" s="28">
        <v>234</v>
      </c>
      <c r="AL120" s="69">
        <v>232</v>
      </c>
      <c r="AM120" s="69">
        <v>231</v>
      </c>
      <c r="AN120" s="69">
        <v>233</v>
      </c>
      <c r="AO120" s="70">
        <v>235</v>
      </c>
      <c r="AP120" s="28">
        <v>233</v>
      </c>
      <c r="AQ120" s="69">
        <v>231</v>
      </c>
      <c r="AR120" s="69">
        <v>231</v>
      </c>
      <c r="AS120" s="69">
        <v>233</v>
      </c>
      <c r="AT120" s="70">
        <v>237</v>
      </c>
      <c r="AU120" s="28">
        <v>233</v>
      </c>
      <c r="AV120" s="69">
        <v>232</v>
      </c>
      <c r="AW120" s="69">
        <v>229</v>
      </c>
      <c r="AX120" s="69">
        <v>226</v>
      </c>
      <c r="AY120" s="70">
        <v>226</v>
      </c>
      <c r="AZ120" s="28">
        <v>228</v>
      </c>
      <c r="BA120" s="69">
        <v>214</v>
      </c>
      <c r="BB120" s="36">
        <v>215</v>
      </c>
      <c r="BC120" s="36">
        <v>210</v>
      </c>
      <c r="BD120" s="147">
        <v>206</v>
      </c>
      <c r="BE120" s="225">
        <v>211</v>
      </c>
    </row>
    <row r="121" spans="1:202" ht="10.5" customHeight="1">
      <c r="A121" s="71" t="s">
        <v>7</v>
      </c>
      <c r="B121" s="24"/>
      <c r="C121" s="72"/>
      <c r="D121" s="72">
        <f>D120/C120-1</f>
        <v>-4.3290043290042934E-3</v>
      </c>
      <c r="E121" s="72">
        <f>E120/D120-1</f>
        <v>-1.7391304347826098E-2</v>
      </c>
      <c r="F121" s="72">
        <f>F120/E120-1</f>
        <v>-4.4247787610619538E-3</v>
      </c>
      <c r="G121" s="24"/>
      <c r="H121" s="72">
        <f>H120/F120-1</f>
        <v>1.3333333333333419E-2</v>
      </c>
      <c r="I121" s="72">
        <f>I120/H120-1</f>
        <v>-1.7543859649122862E-2</v>
      </c>
      <c r="J121" s="72">
        <f>J120/I120-1</f>
        <v>0</v>
      </c>
      <c r="K121" s="72">
        <f>K120/J120-1</f>
        <v>2.2321428571428603E-2</v>
      </c>
      <c r="L121" s="27"/>
      <c r="M121" s="72">
        <f>M120/K120-1</f>
        <v>0</v>
      </c>
      <c r="N121" s="72">
        <f>N120/M120-1</f>
        <v>8.733624454148492E-3</v>
      </c>
      <c r="O121" s="72">
        <f>O120/N120-1</f>
        <v>-8.6580086580086979E-3</v>
      </c>
      <c r="P121" s="72">
        <f>P120/O120-1</f>
        <v>8.733624454148492E-3</v>
      </c>
      <c r="Q121" s="27"/>
      <c r="R121" s="72">
        <v>1.298701298701288E-2</v>
      </c>
      <c r="S121" s="72">
        <v>-8.5470085470085166E-3</v>
      </c>
      <c r="T121" s="72">
        <v>0</v>
      </c>
      <c r="U121" s="72">
        <v>-1.2931034482758674E-2</v>
      </c>
      <c r="V121" s="27"/>
      <c r="W121" s="72">
        <v>3.4934497816593968E-2</v>
      </c>
      <c r="X121" s="72">
        <v>-1.2658227848101222E-2</v>
      </c>
      <c r="Y121" s="72">
        <v>-1.2820512820512775E-2</v>
      </c>
      <c r="Z121" s="72">
        <v>1.298701298701288E-2</v>
      </c>
      <c r="AA121" s="27"/>
      <c r="AB121" s="72">
        <v>-4.2735042735042583E-3</v>
      </c>
      <c r="AC121" s="72">
        <v>-4.2918454935622075E-3</v>
      </c>
      <c r="AD121" s="72">
        <v>4.3103448275862988E-3</v>
      </c>
      <c r="AE121" s="72">
        <v>0</v>
      </c>
      <c r="AF121" s="27"/>
      <c r="AG121" s="72">
        <v>4.2918454935623185E-3</v>
      </c>
      <c r="AH121" s="72">
        <v>0</v>
      </c>
      <c r="AI121" s="72">
        <v>0</v>
      </c>
      <c r="AJ121" s="72">
        <v>0</v>
      </c>
      <c r="AK121" s="27"/>
      <c r="AL121" s="72">
        <v>-8.5470085470085166E-3</v>
      </c>
      <c r="AM121" s="72">
        <v>-4.3103448275861878E-3</v>
      </c>
      <c r="AN121" s="72">
        <v>8.6580086580085869E-3</v>
      </c>
      <c r="AO121" s="72">
        <v>8.5836909871244149E-3</v>
      </c>
      <c r="AP121" s="27"/>
      <c r="AQ121" s="72">
        <v>-1.7021276595744705E-2</v>
      </c>
      <c r="AR121" s="72">
        <v>0</v>
      </c>
      <c r="AS121" s="72">
        <v>8.6580086580085869E-3</v>
      </c>
      <c r="AT121" s="72">
        <v>1.716738197424883E-2</v>
      </c>
      <c r="AU121" s="27"/>
      <c r="AV121" s="72">
        <v>-2.1097046413502074E-2</v>
      </c>
      <c r="AW121" s="72">
        <v>-1.2931034482758674E-2</v>
      </c>
      <c r="AX121" s="72">
        <v>-1.3100436681222738E-2</v>
      </c>
      <c r="AY121" s="72">
        <v>0</v>
      </c>
      <c r="AZ121" s="27"/>
      <c r="BA121" s="72">
        <v>-5.3097345132743334E-2</v>
      </c>
      <c r="BB121" s="165">
        <v>4.6728971962617383E-3</v>
      </c>
      <c r="BC121" s="165">
        <v>-2.3255813953488413E-2</v>
      </c>
      <c r="BD121" s="165">
        <v>-1.9047619047619091E-2</v>
      </c>
      <c r="BE121" s="27"/>
    </row>
    <row r="122" spans="1:202">
      <c r="A122" s="71" t="s">
        <v>8</v>
      </c>
      <c r="B122" s="24"/>
      <c r="C122" s="73"/>
      <c r="D122" s="73"/>
      <c r="E122" s="73"/>
      <c r="F122" s="73"/>
      <c r="G122" s="24">
        <f t="shared" ref="G122:N122" si="27">G120/B120-1</f>
        <v>5.0691244239631228E-2</v>
      </c>
      <c r="H122" s="73">
        <f t="shared" si="27"/>
        <v>-1.2987012987012991E-2</v>
      </c>
      <c r="I122" s="73">
        <f t="shared" si="27"/>
        <v>-2.6086956521739091E-2</v>
      </c>
      <c r="J122" s="73">
        <f t="shared" si="27"/>
        <v>-8.8495575221239076E-3</v>
      </c>
      <c r="K122" s="72">
        <f t="shared" si="27"/>
        <v>1.777777777777767E-2</v>
      </c>
      <c r="L122" s="24">
        <f t="shared" si="27"/>
        <v>-8.7719298245614308E-3</v>
      </c>
      <c r="M122" s="73">
        <f t="shared" si="27"/>
        <v>4.3859649122806044E-3</v>
      </c>
      <c r="N122" s="73">
        <f t="shared" si="27"/>
        <v>3.125E-2</v>
      </c>
      <c r="O122" s="73">
        <f t="shared" ref="O122:P122" si="28">O120/J120-1</f>
        <v>2.2321428571428603E-2</v>
      </c>
      <c r="P122" s="72">
        <f t="shared" si="28"/>
        <v>8.733624454148492E-3</v>
      </c>
      <c r="Q122" s="24">
        <v>1.7699115044247815E-2</v>
      </c>
      <c r="R122" s="73">
        <v>2.1834061135371119E-2</v>
      </c>
      <c r="S122" s="73">
        <v>4.3290043290042934E-3</v>
      </c>
      <c r="T122" s="73">
        <v>1.3100436681222627E-2</v>
      </c>
      <c r="U122" s="72">
        <v>-8.6580086580086979E-3</v>
      </c>
      <c r="V122" s="24">
        <v>8.6956521739129933E-3</v>
      </c>
      <c r="W122" s="73">
        <v>1.2820512820512775E-2</v>
      </c>
      <c r="X122" s="73">
        <v>8.6206896551723755E-3</v>
      </c>
      <c r="Y122" s="73">
        <v>-4.3103448275861878E-3</v>
      </c>
      <c r="Z122" s="72">
        <v>2.1834061135371119E-2</v>
      </c>
      <c r="AA122" s="24">
        <v>0.01</v>
      </c>
      <c r="AB122" s="73">
        <v>-1.6877637130801704E-2</v>
      </c>
      <c r="AC122" s="73">
        <v>-8.5470085470085166E-3</v>
      </c>
      <c r="AD122" s="73">
        <v>8.6580086580085869E-3</v>
      </c>
      <c r="AE122" s="72">
        <v>-4.2735042735042583E-3</v>
      </c>
      <c r="AF122" s="24">
        <v>-4.2735042735042583E-3</v>
      </c>
      <c r="AG122" s="73">
        <v>4.2918454935623185E-3</v>
      </c>
      <c r="AH122" s="73">
        <v>8.6206896551723755E-3</v>
      </c>
      <c r="AI122" s="73">
        <v>4.2918454935623185E-3</v>
      </c>
      <c r="AJ122" s="72">
        <v>4.2918454935623185E-3</v>
      </c>
      <c r="AK122" s="24">
        <v>4.2918454935623185E-3</v>
      </c>
      <c r="AL122" s="73">
        <v>-8.5470085470085166E-3</v>
      </c>
      <c r="AM122" s="73">
        <v>-1.2820512820512775E-2</v>
      </c>
      <c r="AN122" s="73">
        <v>-4.2735042735042583E-3</v>
      </c>
      <c r="AO122" s="72">
        <v>4.2735042735042583E-3</v>
      </c>
      <c r="AP122" s="24">
        <v>-4.2735042735042583E-3</v>
      </c>
      <c r="AQ122" s="73">
        <v>-4.3103448275861878E-3</v>
      </c>
      <c r="AR122" s="73">
        <v>0</v>
      </c>
      <c r="AS122" s="73">
        <v>0</v>
      </c>
      <c r="AT122" s="72">
        <v>8.5106382978723527E-3</v>
      </c>
      <c r="AU122" s="24">
        <v>0</v>
      </c>
      <c r="AV122" s="73">
        <v>4.3290043290042934E-3</v>
      </c>
      <c r="AW122" s="73">
        <v>-8.6580086580086979E-3</v>
      </c>
      <c r="AX122" s="73">
        <v>-3.0042918454935674E-2</v>
      </c>
      <c r="AY122" s="72">
        <v>-4.641350210970463E-2</v>
      </c>
      <c r="AZ122" s="24">
        <v>-2.1459227467811148E-2</v>
      </c>
      <c r="BA122" s="73">
        <v>-7.7586206896551713E-2</v>
      </c>
      <c r="BB122" s="164">
        <v>-6.1135371179039333E-2</v>
      </c>
      <c r="BC122" s="164">
        <v>-7.0796460176991149E-2</v>
      </c>
      <c r="BD122" s="165">
        <v>-8.8495575221238965E-2</v>
      </c>
      <c r="BE122" s="24">
        <v>-7.456140350877194E-2</v>
      </c>
    </row>
    <row r="123" spans="1:202" ht="9.75" customHeight="1">
      <c r="A123" s="71"/>
      <c r="B123" s="24"/>
      <c r="C123" s="73"/>
      <c r="D123" s="73"/>
      <c r="E123" s="73"/>
      <c r="F123" s="73"/>
      <c r="G123" s="24"/>
      <c r="H123" s="73"/>
      <c r="I123" s="73"/>
      <c r="J123" s="73"/>
      <c r="K123" s="72"/>
      <c r="L123" s="24"/>
      <c r="M123" s="73"/>
      <c r="N123" s="73"/>
      <c r="O123" s="73"/>
      <c r="P123" s="72"/>
      <c r="Q123" s="24"/>
      <c r="R123" s="73"/>
      <c r="S123" s="73"/>
      <c r="T123" s="73"/>
      <c r="U123" s="72"/>
      <c r="V123" s="24"/>
      <c r="W123" s="73"/>
      <c r="X123" s="73"/>
      <c r="Y123" s="73"/>
      <c r="Z123" s="72"/>
      <c r="AA123" s="24"/>
      <c r="AB123" s="73"/>
      <c r="AC123" s="73"/>
      <c r="AD123" s="73"/>
      <c r="AE123" s="72"/>
      <c r="AF123" s="24"/>
      <c r="AG123" s="73"/>
      <c r="AH123" s="73"/>
      <c r="AI123" s="73"/>
      <c r="AJ123" s="72"/>
      <c r="AK123" s="24"/>
      <c r="AL123" s="73"/>
      <c r="AM123" s="73"/>
      <c r="AN123" s="73"/>
      <c r="AO123" s="72"/>
      <c r="AP123" s="24"/>
      <c r="AQ123" s="73"/>
      <c r="AR123" s="73"/>
      <c r="AS123" s="73"/>
      <c r="AT123" s="72"/>
      <c r="AU123" s="24"/>
      <c r="AV123" s="73"/>
      <c r="AW123" s="73"/>
      <c r="AX123" s="73"/>
      <c r="AY123" s="72"/>
      <c r="AZ123" s="24"/>
      <c r="BA123" s="73"/>
      <c r="BB123" s="164"/>
      <c r="BC123" s="164"/>
      <c r="BD123" s="165"/>
      <c r="BE123" s="24"/>
    </row>
    <row r="124" spans="1:202">
      <c r="A124" s="69" t="s">
        <v>163</v>
      </c>
      <c r="B124" s="99" t="s">
        <v>52</v>
      </c>
      <c r="C124" s="80" t="s">
        <v>52</v>
      </c>
      <c r="D124" s="80" t="s">
        <v>52</v>
      </c>
      <c r="E124" s="80" t="s">
        <v>52</v>
      </c>
      <c r="F124" s="80" t="s">
        <v>52</v>
      </c>
      <c r="G124" s="99" t="s">
        <v>52</v>
      </c>
      <c r="H124" s="90">
        <v>3.6999999999999998E-2</v>
      </c>
      <c r="I124" s="90">
        <v>3.1E-2</v>
      </c>
      <c r="J124" s="90">
        <v>3.3000000000000002E-2</v>
      </c>
      <c r="K124" s="90">
        <v>3.2000000000000001E-2</v>
      </c>
      <c r="L124" s="39">
        <v>0.13300000000000001</v>
      </c>
      <c r="M124" s="90">
        <v>3.5000000000000003E-2</v>
      </c>
      <c r="N124" s="90">
        <v>3.1E-2</v>
      </c>
      <c r="O124" s="90">
        <v>3.3000000000000002E-2</v>
      </c>
      <c r="P124" s="90">
        <v>3.1E-2</v>
      </c>
      <c r="Q124" s="39">
        <v>0.13</v>
      </c>
      <c r="R124" s="90">
        <v>3.3000000000000002E-2</v>
      </c>
      <c r="S124" s="90">
        <v>2.9000000000000001E-2</v>
      </c>
      <c r="T124" s="90">
        <v>2.8000000000000001E-2</v>
      </c>
      <c r="U124" s="90">
        <v>2.8000000000000001E-2</v>
      </c>
      <c r="V124" s="39">
        <v>0.11899999999999999</v>
      </c>
      <c r="W124" s="90">
        <v>3.5999999999999997E-2</v>
      </c>
      <c r="X124" s="90">
        <v>3.9E-2</v>
      </c>
      <c r="Y124" s="90">
        <v>4.1000000000000002E-2</v>
      </c>
      <c r="Z124" s="90">
        <v>3.7999999999999999E-2</v>
      </c>
      <c r="AA124" s="143">
        <v>0.154</v>
      </c>
      <c r="AB124" s="90">
        <v>3.7999999999999999E-2</v>
      </c>
      <c r="AC124" s="90">
        <v>3.2000000000000001E-2</v>
      </c>
      <c r="AD124" s="90">
        <v>3.4000000000000002E-2</v>
      </c>
      <c r="AE124" s="90">
        <v>0.03</v>
      </c>
      <c r="AF124" s="143">
        <v>0.13500000000000001</v>
      </c>
      <c r="AG124" s="90">
        <v>3.5999999999999997E-2</v>
      </c>
      <c r="AH124" s="90">
        <v>3.1E-2</v>
      </c>
      <c r="AI124" s="90">
        <v>3.2000000000000001E-2</v>
      </c>
      <c r="AJ124" s="90">
        <v>2.9000000000000001E-2</v>
      </c>
      <c r="AK124" s="143">
        <v>0.128</v>
      </c>
      <c r="AL124" s="166">
        <v>3.4000000000000002E-2</v>
      </c>
      <c r="AM124" s="90">
        <v>3.1E-2</v>
      </c>
      <c r="AN124" s="90">
        <v>3.9E-2</v>
      </c>
      <c r="AO124" s="90">
        <v>3.5000000000000003E-2</v>
      </c>
      <c r="AP124" s="143">
        <v>0.13900000000000001</v>
      </c>
      <c r="AQ124" s="166">
        <v>4.2000000000000003E-2</v>
      </c>
      <c r="AR124" s="90">
        <v>3.5999999999999997E-2</v>
      </c>
      <c r="AS124" s="90">
        <v>4.4999999999999998E-2</v>
      </c>
      <c r="AT124" s="90">
        <v>3.6000000000000011E-2</v>
      </c>
      <c r="AU124" s="143">
        <v>0.159</v>
      </c>
      <c r="AV124" s="166">
        <v>4.2999999999999997E-2</v>
      </c>
      <c r="AW124" s="166">
        <v>3.7999999999999999E-2</v>
      </c>
      <c r="AX124" s="166">
        <v>4.8000000000000001E-2</v>
      </c>
      <c r="AY124" s="90">
        <v>5.8999999999999997E-2</v>
      </c>
      <c r="AZ124" s="143">
        <v>0.188</v>
      </c>
      <c r="BA124" s="166">
        <v>6.0999999999999999E-2</v>
      </c>
      <c r="BB124" s="166">
        <v>4.7E-2</v>
      </c>
      <c r="BC124" s="166">
        <v>5.0999999999999997E-2</v>
      </c>
      <c r="BD124" s="166">
        <v>5.6000000000000008E-2</v>
      </c>
      <c r="BE124" s="143">
        <v>0.215</v>
      </c>
    </row>
    <row r="125" spans="1:202" ht="8.25" customHeight="1">
      <c r="A125" s="69"/>
      <c r="B125" s="99"/>
      <c r="C125" s="80"/>
      <c r="D125" s="80"/>
      <c r="E125" s="80"/>
      <c r="F125" s="80"/>
      <c r="G125" s="99"/>
      <c r="H125" s="90"/>
      <c r="I125" s="90"/>
      <c r="J125" s="90"/>
      <c r="K125" s="90"/>
      <c r="L125" s="39"/>
      <c r="M125" s="90"/>
      <c r="N125" s="90"/>
      <c r="O125" s="90"/>
      <c r="P125" s="90"/>
      <c r="Q125" s="39"/>
      <c r="R125" s="90"/>
      <c r="S125" s="90"/>
      <c r="T125" s="90"/>
      <c r="U125" s="90"/>
      <c r="V125" s="39"/>
      <c r="W125" s="90"/>
      <c r="X125" s="90"/>
      <c r="Y125" s="90"/>
      <c r="Z125" s="90"/>
      <c r="AA125" s="27"/>
      <c r="AB125" s="90"/>
      <c r="AC125" s="90"/>
      <c r="AD125" s="90"/>
      <c r="AE125" s="90"/>
      <c r="AF125" s="27"/>
      <c r="AG125" s="90"/>
      <c r="AH125" s="90"/>
      <c r="AI125" s="90"/>
      <c r="AJ125" s="90"/>
      <c r="AK125" s="27"/>
      <c r="AL125" s="90"/>
      <c r="AM125" s="90"/>
      <c r="AN125" s="90"/>
      <c r="AO125" s="90"/>
      <c r="AP125" s="27"/>
      <c r="AQ125" s="90"/>
      <c r="AR125" s="90"/>
      <c r="AS125" s="90"/>
      <c r="AT125" s="90"/>
      <c r="AU125" s="27"/>
      <c r="AV125" s="90"/>
      <c r="AW125" s="90"/>
      <c r="AX125" s="90"/>
      <c r="AY125" s="90"/>
      <c r="AZ125" s="27"/>
      <c r="BA125" s="90"/>
      <c r="BB125" s="90"/>
      <c r="BC125" s="90"/>
      <c r="BD125" s="90"/>
      <c r="BE125" s="27"/>
    </row>
    <row r="126" spans="1:202">
      <c r="A126" s="69" t="s">
        <v>18</v>
      </c>
      <c r="B126" s="99" t="s">
        <v>52</v>
      </c>
      <c r="C126" s="80"/>
      <c r="D126" s="80"/>
      <c r="E126" s="80"/>
      <c r="F126" s="80"/>
      <c r="G126" s="142">
        <v>1999</v>
      </c>
      <c r="H126" s="90"/>
      <c r="I126" s="90"/>
      <c r="J126" s="90"/>
      <c r="K126" s="90"/>
      <c r="L126" s="142">
        <v>2158</v>
      </c>
      <c r="M126" s="90"/>
      <c r="N126" s="90"/>
      <c r="O126" s="90"/>
      <c r="P126" s="90"/>
      <c r="Q126" s="142">
        <v>2229</v>
      </c>
      <c r="R126" s="120" t="s">
        <v>44</v>
      </c>
      <c r="S126" s="120" t="s">
        <v>44</v>
      </c>
      <c r="T126" s="120" t="s">
        <v>44</v>
      </c>
      <c r="U126" s="120" t="s">
        <v>44</v>
      </c>
      <c r="V126" s="142">
        <v>2227</v>
      </c>
      <c r="W126" s="120" t="s">
        <v>44</v>
      </c>
      <c r="X126" s="120" t="s">
        <v>44</v>
      </c>
      <c r="Y126" s="120" t="s">
        <v>44</v>
      </c>
      <c r="Z126" s="120" t="s">
        <v>44</v>
      </c>
      <c r="AA126" s="142">
        <v>2276</v>
      </c>
      <c r="AB126" s="120" t="s">
        <v>44</v>
      </c>
      <c r="AC126" s="120" t="s">
        <v>44</v>
      </c>
      <c r="AD126" s="120" t="s">
        <v>44</v>
      </c>
      <c r="AE126" s="120" t="s">
        <v>44</v>
      </c>
      <c r="AF126" s="142">
        <v>2208</v>
      </c>
      <c r="AG126" s="120" t="s">
        <v>44</v>
      </c>
      <c r="AH126" s="120" t="s">
        <v>44</v>
      </c>
      <c r="AI126" s="120" t="s">
        <v>44</v>
      </c>
      <c r="AJ126" s="70">
        <v>2042</v>
      </c>
      <c r="AK126" s="142">
        <v>2042</v>
      </c>
      <c r="AL126" s="120" t="s">
        <v>44</v>
      </c>
      <c r="AM126" s="120" t="s">
        <v>44</v>
      </c>
      <c r="AN126" s="120" t="s">
        <v>44</v>
      </c>
      <c r="AO126" s="70">
        <v>1984</v>
      </c>
      <c r="AP126" s="142">
        <v>1984</v>
      </c>
      <c r="AQ126" s="120" t="s">
        <v>44</v>
      </c>
      <c r="AR126" s="120" t="s">
        <v>44</v>
      </c>
      <c r="AS126" s="120" t="s">
        <v>44</v>
      </c>
      <c r="AT126" s="70">
        <v>1753</v>
      </c>
      <c r="AU126" s="142">
        <v>1753</v>
      </c>
      <c r="AV126" s="120" t="s">
        <v>44</v>
      </c>
      <c r="AW126" s="120" t="s">
        <v>44</v>
      </c>
      <c r="AX126" s="120" t="s">
        <v>44</v>
      </c>
      <c r="AY126" s="70">
        <v>1680</v>
      </c>
      <c r="AZ126" s="142">
        <v>1680</v>
      </c>
      <c r="BA126" s="120" t="s">
        <v>44</v>
      </c>
      <c r="BB126" s="120" t="s">
        <v>44</v>
      </c>
      <c r="BC126" s="120" t="s">
        <v>44</v>
      </c>
      <c r="BD126" s="70">
        <v>1532</v>
      </c>
      <c r="BE126" s="142">
        <v>1532</v>
      </c>
    </row>
    <row r="127" spans="1:202" ht="9" customHeight="1">
      <c r="A127" s="71" t="s">
        <v>8</v>
      </c>
      <c r="B127" s="24"/>
      <c r="C127" s="73"/>
      <c r="D127" s="73"/>
      <c r="E127" s="73"/>
      <c r="F127" s="73"/>
      <c r="G127" s="24"/>
      <c r="H127" s="73"/>
      <c r="I127" s="73"/>
      <c r="J127" s="73"/>
      <c r="K127" s="72"/>
      <c r="L127" s="24">
        <f>L126/G126-1</f>
        <v>7.9539769884942491E-2</v>
      </c>
      <c r="M127" s="73"/>
      <c r="N127" s="73"/>
      <c r="O127" s="73"/>
      <c r="P127" s="72"/>
      <c r="Q127" s="24">
        <v>3.2900834105653365E-2</v>
      </c>
      <c r="R127" s="73"/>
      <c r="S127" s="73"/>
      <c r="T127" s="73"/>
      <c r="U127" s="72"/>
      <c r="V127" s="24">
        <v>-8.9726334679229858E-4</v>
      </c>
      <c r="W127" s="73"/>
      <c r="X127" s="73"/>
      <c r="Y127" s="73"/>
      <c r="Z127" s="72"/>
      <c r="AA127" s="24">
        <v>2.2002694207454043E-2</v>
      </c>
      <c r="AB127" s="73"/>
      <c r="AC127" s="73"/>
      <c r="AD127" s="73"/>
      <c r="AE127" s="72"/>
      <c r="AF127" s="24">
        <v>-2.9876977152899831E-2</v>
      </c>
      <c r="AG127" s="73"/>
      <c r="AH127" s="73"/>
      <c r="AI127" s="73"/>
      <c r="AJ127" s="72"/>
      <c r="AK127" s="24">
        <v>-7.51811594202898E-2</v>
      </c>
      <c r="AL127" s="73"/>
      <c r="AM127" s="73"/>
      <c r="AN127" s="73"/>
      <c r="AO127" s="72"/>
      <c r="AP127" s="24">
        <v>-2.8403525954946107E-2</v>
      </c>
      <c r="AQ127" s="73"/>
      <c r="AR127" s="73"/>
      <c r="AS127" s="73"/>
      <c r="AT127" s="72"/>
      <c r="AU127" s="24">
        <v>-0.11643145161290325</v>
      </c>
      <c r="AV127" s="73"/>
      <c r="AW127" s="73"/>
      <c r="AX127" s="73"/>
      <c r="AY127" s="72"/>
      <c r="AZ127" s="24">
        <v>-4.164289788933262E-2</v>
      </c>
      <c r="BA127" s="73"/>
      <c r="BB127" s="73"/>
      <c r="BC127" s="73"/>
      <c r="BD127" s="72"/>
      <c r="BE127" s="24">
        <v>-8.8095238095238115E-2</v>
      </c>
    </row>
    <row r="128" spans="1:202" s="46" customFormat="1" ht="4.5" customHeight="1">
      <c r="A128" s="90"/>
      <c r="B128" s="167"/>
      <c r="C128" s="90"/>
      <c r="D128" s="90"/>
      <c r="E128" s="90"/>
      <c r="F128" s="90"/>
      <c r="G128" s="167"/>
      <c r="H128" s="167"/>
      <c r="I128" s="167"/>
      <c r="J128" s="167"/>
      <c r="K128" s="167"/>
      <c r="L128" s="167"/>
      <c r="M128" s="167"/>
      <c r="N128" s="167"/>
      <c r="O128" s="167"/>
      <c r="P128" s="167"/>
      <c r="Q128" s="167"/>
      <c r="R128" s="167"/>
      <c r="S128" s="167"/>
      <c r="T128" s="167"/>
      <c r="U128" s="167"/>
      <c r="V128" s="167"/>
      <c r="W128" s="167"/>
      <c r="X128" s="167"/>
      <c r="Y128" s="167"/>
      <c r="Z128" s="167"/>
      <c r="AA128" s="167"/>
      <c r="AB128" s="90"/>
      <c r="AC128" s="90"/>
      <c r="AD128" s="90"/>
      <c r="AE128" s="90"/>
      <c r="AF128" s="167"/>
      <c r="AG128" s="90"/>
      <c r="AH128" s="90"/>
      <c r="AI128" s="90"/>
      <c r="AJ128" s="90"/>
      <c r="AK128" s="167"/>
      <c r="AL128" s="90"/>
      <c r="AM128" s="90"/>
      <c r="AN128" s="90"/>
      <c r="AO128" s="90"/>
      <c r="AP128" s="167"/>
      <c r="AQ128" s="90"/>
      <c r="AR128" s="90"/>
      <c r="AS128" s="90"/>
      <c r="AT128" s="90"/>
      <c r="AU128" s="167"/>
      <c r="AV128" s="90"/>
      <c r="AW128" s="90"/>
      <c r="AX128" s="90"/>
      <c r="AY128" s="90"/>
      <c r="AZ128" s="167"/>
      <c r="BA128" s="90"/>
      <c r="BB128" s="90"/>
      <c r="BC128" s="90"/>
      <c r="BD128" s="90"/>
      <c r="BE128" s="167"/>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row>
    <row r="129" spans="1:202" s="168" customFormat="1" ht="14.25" customHeight="1">
      <c r="A129" s="69" t="s">
        <v>160</v>
      </c>
      <c r="B129" s="167">
        <v>0.37</v>
      </c>
      <c r="C129" s="73"/>
      <c r="D129" s="73"/>
      <c r="E129" s="73"/>
      <c r="F129" s="73"/>
      <c r="G129" s="167">
        <v>0.38</v>
      </c>
      <c r="H129" s="167"/>
      <c r="I129" s="167"/>
      <c r="J129" s="167"/>
      <c r="K129" s="167"/>
      <c r="L129" s="167">
        <v>0.38</v>
      </c>
      <c r="M129" s="167"/>
      <c r="N129" s="167"/>
      <c r="O129" s="167"/>
      <c r="P129" s="167"/>
      <c r="Q129" s="167">
        <v>0.39</v>
      </c>
      <c r="R129" s="167"/>
      <c r="S129" s="167"/>
      <c r="T129" s="167"/>
      <c r="U129" s="167"/>
      <c r="V129" s="167">
        <v>0.4</v>
      </c>
      <c r="W129" s="167"/>
      <c r="X129" s="167"/>
      <c r="Y129" s="167"/>
      <c r="Z129" s="167"/>
      <c r="AA129" s="167">
        <v>0.39</v>
      </c>
      <c r="AB129" s="73"/>
      <c r="AC129" s="73"/>
      <c r="AD129" s="73"/>
      <c r="AE129" s="73"/>
      <c r="AF129" s="167">
        <v>0.4</v>
      </c>
      <c r="AG129" s="120" t="s">
        <v>44</v>
      </c>
      <c r="AH129" s="120" t="s">
        <v>44</v>
      </c>
      <c r="AI129" s="120" t="s">
        <v>44</v>
      </c>
      <c r="AJ129" s="120" t="s">
        <v>44</v>
      </c>
      <c r="AK129" s="167">
        <v>0.42</v>
      </c>
      <c r="AL129" s="120" t="s">
        <v>44</v>
      </c>
      <c r="AM129" s="120" t="s">
        <v>44</v>
      </c>
      <c r="AN129" s="120" t="s">
        <v>44</v>
      </c>
      <c r="AO129" s="120" t="s">
        <v>44</v>
      </c>
      <c r="AP129" s="167">
        <v>0.42</v>
      </c>
      <c r="AQ129" s="120" t="s">
        <v>44</v>
      </c>
      <c r="AR129" s="120" t="s">
        <v>44</v>
      </c>
      <c r="AS129" s="120" t="s">
        <v>44</v>
      </c>
      <c r="AT129" s="120" t="s">
        <v>44</v>
      </c>
      <c r="AU129" s="167">
        <v>0.4</v>
      </c>
      <c r="AV129" s="120" t="s">
        <v>44</v>
      </c>
      <c r="AW129" s="120" t="s">
        <v>44</v>
      </c>
      <c r="AX129" s="120" t="s">
        <v>44</v>
      </c>
      <c r="AY129" s="120" t="s">
        <v>44</v>
      </c>
      <c r="AZ129" s="167">
        <v>0.37</v>
      </c>
      <c r="BA129" s="120" t="s">
        <v>44</v>
      </c>
      <c r="BB129" s="120" t="s">
        <v>44</v>
      </c>
      <c r="BC129" s="120" t="s">
        <v>44</v>
      </c>
      <c r="BD129" s="120" t="s">
        <v>44</v>
      </c>
      <c r="BE129" s="167">
        <v>0.34</v>
      </c>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row>
    <row r="130" spans="1:202" ht="5.25" customHeight="1">
      <c r="A130" s="94"/>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row>
    <row r="161" spans="3:57">
      <c r="N161" s="1">
        <v>340</v>
      </c>
      <c r="O161" s="1">
        <v>347.37700000000001</v>
      </c>
    </row>
    <row r="167" spans="3:57" customFormat="1"/>
    <row r="168" spans="3:57" customFormat="1"/>
    <row r="169" spans="3:57" customFormat="1"/>
    <row r="170" spans="3:57">
      <c r="AK170"/>
      <c r="AL170"/>
      <c r="AM170"/>
      <c r="AN170"/>
      <c r="AO170"/>
      <c r="AP170"/>
      <c r="AQ170"/>
      <c r="AR170"/>
      <c r="AS170"/>
      <c r="AT170"/>
      <c r="AU170"/>
      <c r="AV170"/>
      <c r="AW170"/>
      <c r="AX170"/>
      <c r="AY170"/>
      <c r="AZ170"/>
      <c r="BC170"/>
      <c r="BD170"/>
      <c r="BE170"/>
    </row>
    <row r="171" spans="3:57">
      <c r="AK171"/>
      <c r="AL171"/>
      <c r="AM171"/>
      <c r="AN171"/>
      <c r="AO171"/>
      <c r="AP171"/>
      <c r="AQ171"/>
      <c r="AR171"/>
      <c r="AS171"/>
      <c r="AT171"/>
      <c r="AU171"/>
      <c r="AV171"/>
      <c r="AW171"/>
      <c r="AX171"/>
      <c r="AY171"/>
      <c r="AZ171"/>
      <c r="BC171"/>
      <c r="BD171"/>
      <c r="BE171"/>
    </row>
    <row r="172" spans="3:57">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C172"/>
      <c r="BD172"/>
      <c r="BE172"/>
    </row>
    <row r="173" spans="3:57">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C173"/>
      <c r="BD173"/>
      <c r="BE173"/>
    </row>
    <row r="174" spans="3:57">
      <c r="AK174" s="1">
        <v>1980</v>
      </c>
    </row>
    <row r="177" spans="37:44">
      <c r="AK177" s="1">
        <f>1793-478</f>
        <v>1315</v>
      </c>
    </row>
    <row r="186" spans="37:44">
      <c r="AK186" s="1">
        <v>-23</v>
      </c>
    </row>
    <row r="191" spans="37:44">
      <c r="AR191" s="1">
        <v>59</v>
      </c>
    </row>
    <row r="196" spans="20:33">
      <c r="AG196" s="1">
        <v>616</v>
      </c>
    </row>
    <row r="202" spans="20:33">
      <c r="AG202" s="1">
        <f>18.765+190.909</f>
        <v>209.67399999999998</v>
      </c>
    </row>
    <row r="205" spans="20:33">
      <c r="AG205" s="1">
        <f>AG202-27</f>
        <v>182.67399999999998</v>
      </c>
    </row>
    <row r="207" spans="20:33">
      <c r="T207" s="1">
        <v>405.46800000000002</v>
      </c>
    </row>
    <row r="210" spans="1:20">
      <c r="T210" s="1">
        <v>63.363999999999997</v>
      </c>
    </row>
    <row r="213" spans="1:20">
      <c r="T213" s="1">
        <v>-75.885000000000005</v>
      </c>
    </row>
    <row r="216" spans="1:20">
      <c r="T216" s="1">
        <v>74.073999999999998</v>
      </c>
    </row>
    <row r="220" spans="1:20">
      <c r="A220" s="34"/>
    </row>
    <row r="224" spans="1:20">
      <c r="O224" s="1">
        <v>126.117</v>
      </c>
      <c r="T224" s="1">
        <v>134.20099999999999</v>
      </c>
    </row>
    <row r="229" spans="15:23">
      <c r="W229" s="1">
        <v>118</v>
      </c>
    </row>
    <row r="230" spans="15:23">
      <c r="O230" s="1">
        <f>52.441+2.5+9.771</f>
        <v>64.712000000000003</v>
      </c>
      <c r="T230" s="1">
        <f>51.634+6.428+9.274</f>
        <v>67.335999999999999</v>
      </c>
    </row>
    <row r="231" spans="15:23">
      <c r="W231" s="122">
        <v>-9.1999999999999998E-2</v>
      </c>
    </row>
    <row r="233" spans="15:23">
      <c r="T233" s="1">
        <f>T230-0.156</f>
        <v>67.179999999999993</v>
      </c>
    </row>
    <row r="332" spans="57:57">
      <c r="BE332" s="1">
        <f>BE329-260</f>
        <v>-260</v>
      </c>
    </row>
    <row r="351" spans="55:55">
      <c r="BC351" s="122">
        <v>0.26400000000000001</v>
      </c>
    </row>
    <row r="403" spans="31:37">
      <c r="AE403" s="1">
        <v>131</v>
      </c>
      <c r="AJ403" s="1">
        <v>135</v>
      </c>
    </row>
    <row r="405" spans="31:37">
      <c r="AJ405" s="122">
        <v>3.5000000000000003E-2</v>
      </c>
    </row>
    <row r="408" spans="31:37">
      <c r="AE408" s="1">
        <v>134</v>
      </c>
      <c r="AF408" s="1">
        <v>491</v>
      </c>
    </row>
    <row r="410" spans="31:37">
      <c r="AJ410" s="122">
        <v>-8.7999999999999995E-2</v>
      </c>
      <c r="AK410" s="122">
        <v>-0.10100000000000001</v>
      </c>
    </row>
    <row r="420" spans="31:37">
      <c r="AF420" s="1">
        <v>167</v>
      </c>
      <c r="AJ420" s="1">
        <v>27</v>
      </c>
      <c r="AK420" s="1">
        <v>138</v>
      </c>
    </row>
    <row r="422" spans="31:37">
      <c r="AJ422" s="122">
        <v>-0.47899999999999998</v>
      </c>
      <c r="AK422" s="122">
        <v>-0.17799999999999999</v>
      </c>
    </row>
    <row r="428" spans="31:37">
      <c r="AE428" s="122">
        <v>0.313</v>
      </c>
    </row>
  </sheetData>
  <customSheetViews>
    <customSheetView guid="{67DDFA58-7FF7-4BDB-BFFF-31DB4021D095}" scale="97" showGridLines="0"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7DC6D345-C4C0-4162-8636-D495A245EBF8}" scale="97" showPageBreaks="1" showGridLines="0" printArea="1"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44BC518B-F505-4956-BE42-792973965029}" showPageBreaks="1" showGridLines="0" printArea="1" showRuler="0">
      <pane xSplit="1" ySplit="5" topLeftCell="B64" activePane="bottomRight" state="frozenSplit"/>
      <selection pane="bottomRight" activeCell="M263" sqref="M263"/>
      <rowBreaks count="2" manualBreakCount="2">
        <brk id="44" max="17" man="1"/>
        <brk id="318"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C32ED439-2914-4073-BFBF-7718D6CFE811}" showPageBreaks="1" showGridLines="0" printArea="1">
      <pane xSplit="1" ySplit="5" topLeftCell="K6" activePane="bottomRight" state="frozenSplit"/>
      <selection pane="bottomRight" activeCell="S89" sqref="S89"/>
      <rowBreaks count="2" manualBreakCount="2">
        <brk id="44" max="17" man="1"/>
        <brk id="310"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A44E415-E6EC-4CA2-8B4C-A374F00F0261}" showPageBreaks="1" printArea="1" showRuler="0">
      <pane xSplit="1" ySplit="5" topLeftCell="B6" activePane="bottomRight" state="frozenSplit"/>
      <selection pane="bottomRight" activeCell="B6" sqref="B6"/>
      <rowBreaks count="1" manualBreakCount="1">
        <brk id="41" max="18" man="1"/>
      </rowBreaks>
      <pageMargins left="0.7" right="0.7" top="0.75" bottom="0.75" header="0.3" footer="0.3"/>
      <pageSetup paperSize="9" scale="70" orientation="landscape"/>
      <headerFooter alignWithMargins="0">
        <oddHeader>&amp;C&amp;12Bezeq - The Israel Telecommunication Corp. Ltd</oddHeader>
        <oddFooter>&amp;R&amp;P of &amp;N
KPIs</oddFooter>
      </headerFooter>
    </customSheetView>
    <customSheetView guid="{F07085DA-2B2D-4BE1-891D-F25D604A092E}" showPageBreaks="1" printArea="1" showRuler="0">
      <pane xSplit="1" ySplit="5" topLeftCell="B6" activePane="bottomRight" state="frozenSplit"/>
      <selection pane="bottomRight" activeCell="A77" sqref="A77"/>
      <rowBreaks count="1" manualBreakCount="1">
        <brk id="41" max="12"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C6BBAF30-1E81-42FB-BA93-01B6813E2C8C}" showPageBreaks="1" printArea="1" showRuler="0">
      <pane xSplit="1" ySplit="5" topLeftCell="B6" activePane="bottomRight" state="frozenSplit"/>
      <selection pane="bottomRight"/>
      <rowBreaks count="1" manualBreakCount="1">
        <brk id="39" max="14" man="1"/>
      </rowBreaks>
      <pageMargins left="0.7" right="0.7" top="0.75" bottom="0.75" header="0.3" footer="0.3"/>
      <printOptions horizontalCentered="1"/>
      <pageSetup paperSize="9" scale="78" fitToHeight="7" orientation="landscape"/>
      <headerFooter alignWithMargins="0">
        <oddHeader>&amp;C&amp;12Bezeq - The Israel Telecommunication Corp. Ltd</oddHeader>
        <oddFooter>&amp;R&amp;P of &amp;N
KPIs</oddFooter>
      </headerFooter>
    </customSheetView>
  </customSheetViews>
  <phoneticPr fontId="4" type="noConversion"/>
  <pageMargins left="0.39370078740157483" right="0.19685039370078741" top="0.98425196850393704" bottom="0.39370078740157483" header="0.51181102362204722" footer="0.19685039370078741"/>
  <pageSetup paperSize="9" scale="63" orientation="landscape" r:id="rId1"/>
  <headerFooter alignWithMargins="0">
    <oddHeader>&amp;C&amp;12Bezeq - The Israel Telecommunication Corp. Ltd</oddHeader>
    <oddFooter>&amp;R&amp;P of &amp;N
KPIs</oddFooter>
  </headerFooter>
  <rowBreaks count="2" manualBreakCount="2">
    <brk id="63" max="16383" man="1"/>
    <brk id="297" max="16383" man="1"/>
  </rowBreaks>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5"/>
  <sheetViews>
    <sheetView showGridLines="0" view="pageBreakPreview" topLeftCell="A31" zoomScaleSheetLayoutView="100" workbookViewId="0">
      <selection activeCell="I18" sqref="I18"/>
    </sheetView>
  </sheetViews>
  <sheetFormatPr defaultColWidth="8.6640625" defaultRowHeight="13.2"/>
  <cols>
    <col min="1" max="1" width="25.44140625" style="104" customWidth="1"/>
    <col min="2" max="2" width="19.33203125" style="104" customWidth="1"/>
    <col min="3" max="3" width="23.33203125" style="104" customWidth="1"/>
    <col min="4" max="4" width="49.33203125" style="132" customWidth="1"/>
    <col min="5" max="5" width="29.44140625" style="104" customWidth="1"/>
    <col min="6" max="9" width="10.33203125" style="104" customWidth="1"/>
    <col min="10" max="10" width="10.44140625" style="104" customWidth="1"/>
    <col min="11" max="11" width="10.33203125" style="104" customWidth="1"/>
    <col min="12" max="12" width="17.6640625" style="107" customWidth="1"/>
    <col min="13" max="13" width="9.33203125" style="107" customWidth="1"/>
    <col min="14" max="74" width="8.6640625" style="107"/>
    <col min="75" max="16384" width="8.6640625" style="104"/>
  </cols>
  <sheetData>
    <row r="1" spans="1:74" s="105" customFormat="1" ht="15.6">
      <c r="B1" s="126"/>
      <c r="C1"/>
      <c r="D1" s="26"/>
      <c r="E1"/>
      <c r="F1"/>
      <c r="G1"/>
      <c r="H1"/>
      <c r="I1"/>
      <c r="J1"/>
      <c r="K1"/>
      <c r="L1" s="106"/>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row>
    <row r="2" spans="1:74" s="105" customFormat="1">
      <c r="D2" s="134"/>
      <c r="L2" s="106"/>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row>
    <row r="3" spans="1:74" s="105" customFormat="1" ht="22.8">
      <c r="B3" s="127"/>
      <c r="C3"/>
      <c r="D3" s="26"/>
      <c r="E3"/>
      <c r="F3"/>
      <c r="G3"/>
      <c r="H3"/>
      <c r="I3"/>
      <c r="J3"/>
      <c r="K3"/>
      <c r="L3" s="106"/>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row>
    <row r="4" spans="1:74" s="57" customFormat="1" ht="6" customHeight="1">
      <c r="A4" s="58"/>
      <c r="B4" s="47"/>
      <c r="C4" s="47"/>
      <c r="D4" s="47"/>
      <c r="E4" s="47"/>
      <c r="F4" s="47"/>
      <c r="G4" s="47"/>
      <c r="H4" s="47"/>
      <c r="I4" s="47"/>
      <c r="J4" s="47"/>
      <c r="K4" s="47"/>
      <c r="L4" s="47"/>
      <c r="M4" s="47"/>
      <c r="N4" s="47"/>
      <c r="O4" s="47"/>
    </row>
    <row r="5" spans="1:74" s="25" customFormat="1" ht="4.5" customHeight="1">
      <c r="A5" s="44"/>
      <c r="B5" s="45"/>
      <c r="C5" s="45"/>
      <c r="D5" s="45"/>
      <c r="E5" s="45"/>
      <c r="F5" s="45"/>
      <c r="G5" s="45"/>
      <c r="H5" s="45"/>
      <c r="I5" s="45"/>
      <c r="J5" s="45"/>
      <c r="K5" s="45"/>
      <c r="L5" s="45"/>
      <c r="M5" s="45"/>
      <c r="N5" s="45"/>
      <c r="O5" s="45"/>
    </row>
    <row r="6" spans="1:74" s="4" customFormat="1" ht="17.399999999999999">
      <c r="A6" s="162" t="s">
        <v>123</v>
      </c>
      <c r="B6" s="27"/>
      <c r="C6" s="27"/>
      <c r="D6" s="135"/>
      <c r="E6" s="27"/>
      <c r="F6" s="27"/>
      <c r="G6" s="27"/>
      <c r="H6" s="27"/>
      <c r="I6" s="27"/>
      <c r="J6" s="27"/>
      <c r="K6" s="27"/>
      <c r="L6" s="27"/>
      <c r="M6" s="27"/>
      <c r="N6" s="27"/>
      <c r="O6" s="27"/>
    </row>
    <row r="7" spans="1:74" s="4" customFormat="1" ht="7.5" customHeight="1">
      <c r="A7" s="61"/>
      <c r="B7" s="62"/>
      <c r="C7" s="62"/>
      <c r="D7" s="136"/>
      <c r="E7" s="62"/>
      <c r="F7" s="62"/>
      <c r="G7" s="62"/>
      <c r="H7" s="62"/>
      <c r="I7" s="62"/>
      <c r="J7" s="62"/>
      <c r="K7" s="62"/>
      <c r="L7" s="62"/>
      <c r="M7" s="62"/>
      <c r="N7" s="62"/>
      <c r="O7" s="62"/>
    </row>
    <row r="8" spans="1:74" s="4" customFormat="1">
      <c r="A8" s="161" t="s">
        <v>103</v>
      </c>
      <c r="B8" s="42"/>
      <c r="C8" s="42"/>
      <c r="D8" s="137"/>
      <c r="E8" s="42"/>
      <c r="F8" s="42"/>
      <c r="G8" s="42"/>
      <c r="H8" s="42"/>
      <c r="I8" s="42"/>
      <c r="J8" s="42"/>
      <c r="K8" s="42"/>
      <c r="L8" s="42"/>
      <c r="M8" s="42"/>
      <c r="N8" s="42"/>
      <c r="O8" s="42"/>
    </row>
    <row r="9" spans="1:74" s="128" customFormat="1" ht="19.5" customHeight="1">
      <c r="A9" s="154" t="s">
        <v>124</v>
      </c>
      <c r="B9" s="154" t="s">
        <v>125</v>
      </c>
      <c r="C9" s="154" t="s">
        <v>106</v>
      </c>
      <c r="D9" s="155" t="s">
        <v>126</v>
      </c>
      <c r="E9" s="156"/>
      <c r="F9" s="129"/>
      <c r="G9" s="129"/>
      <c r="H9" s="129"/>
      <c r="I9" s="129"/>
      <c r="J9" s="129"/>
      <c r="K9" s="129"/>
      <c r="L9" s="129"/>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c r="AW9" s="130"/>
      <c r="AX9" s="130"/>
      <c r="AY9" s="130"/>
      <c r="AZ9" s="130"/>
      <c r="BA9" s="130"/>
      <c r="BB9" s="130"/>
      <c r="BC9" s="130"/>
      <c r="BD9" s="130"/>
      <c r="BE9" s="130"/>
      <c r="BF9" s="130"/>
      <c r="BG9" s="130"/>
      <c r="BH9" s="130"/>
      <c r="BI9" s="130"/>
      <c r="BJ9" s="130"/>
      <c r="BK9" s="130"/>
      <c r="BL9" s="130"/>
      <c r="BM9" s="130"/>
      <c r="BN9" s="130"/>
      <c r="BO9" s="130"/>
      <c r="BP9" s="130"/>
      <c r="BQ9" s="130"/>
      <c r="BR9" s="130"/>
      <c r="BS9" s="130"/>
      <c r="BT9" s="130"/>
      <c r="BU9" s="130"/>
      <c r="BV9" s="130"/>
    </row>
    <row r="10" spans="1:74" s="141" customFormat="1" ht="19.5" customHeight="1">
      <c r="A10" s="203" t="s">
        <v>265</v>
      </c>
      <c r="B10" s="204">
        <v>318</v>
      </c>
      <c r="C10" s="203">
        <v>0.11</v>
      </c>
      <c r="D10" s="205" t="s">
        <v>127</v>
      </c>
      <c r="E10" s="157"/>
      <c r="F10" s="139"/>
      <c r="G10" s="139"/>
      <c r="H10" s="139"/>
      <c r="I10" s="139"/>
      <c r="J10" s="139"/>
      <c r="K10" s="139"/>
      <c r="L10" s="139"/>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row>
    <row r="11" spans="1:74" s="141" customFormat="1" ht="18" customHeight="1">
      <c r="A11" s="203" t="s">
        <v>253</v>
      </c>
      <c r="B11" s="204">
        <v>368</v>
      </c>
      <c r="C11" s="203">
        <v>0.13</v>
      </c>
      <c r="D11" s="205" t="s">
        <v>165</v>
      </c>
      <c r="E11" s="157"/>
      <c r="F11" s="139"/>
      <c r="G11" s="139"/>
      <c r="H11" s="139"/>
      <c r="I11" s="139"/>
      <c r="J11" s="139"/>
      <c r="K11" s="139"/>
      <c r="L11" s="139"/>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row>
    <row r="12" spans="1:74" s="141" customFormat="1" ht="18" customHeight="1">
      <c r="A12" s="203" t="s">
        <v>215</v>
      </c>
      <c r="B12" s="204">
        <v>708</v>
      </c>
      <c r="C12" s="203">
        <v>0.26</v>
      </c>
      <c r="D12" s="205" t="s">
        <v>165</v>
      </c>
      <c r="E12" s="157"/>
      <c r="F12" s="139"/>
      <c r="G12" s="139"/>
      <c r="H12" s="139"/>
      <c r="I12" s="139"/>
      <c r="J12" s="139"/>
      <c r="K12" s="139"/>
      <c r="L12" s="139"/>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row>
    <row r="13" spans="1:74" s="141" customFormat="1" ht="18" customHeight="1">
      <c r="A13" s="206" t="s">
        <v>211</v>
      </c>
      <c r="B13" s="204">
        <v>578</v>
      </c>
      <c r="C13" s="206">
        <v>0.21</v>
      </c>
      <c r="D13" s="205" t="s">
        <v>165</v>
      </c>
      <c r="E13" s="158"/>
      <c r="F13" s="196"/>
      <c r="G13" s="196"/>
      <c r="H13" s="196"/>
      <c r="I13" s="139"/>
      <c r="J13" s="139"/>
      <c r="K13" s="139"/>
      <c r="L13" s="139"/>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row>
    <row r="14" spans="1:74" s="141" customFormat="1" ht="18" customHeight="1">
      <c r="A14" s="203" t="s">
        <v>201</v>
      </c>
      <c r="B14" s="204">
        <v>665</v>
      </c>
      <c r="C14" s="207">
        <v>0.24046770000000001</v>
      </c>
      <c r="D14" s="205" t="s">
        <v>165</v>
      </c>
      <c r="E14" s="158"/>
      <c r="F14" s="139"/>
      <c r="G14" s="139"/>
      <c r="H14" s="139"/>
      <c r="I14" s="139"/>
      <c r="J14" s="139"/>
      <c r="K14" s="139"/>
      <c r="L14" s="139"/>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row>
    <row r="15" spans="1:74" s="141" customFormat="1" ht="18" customHeight="1">
      <c r="A15" s="208">
        <v>42520</v>
      </c>
      <c r="B15" s="204">
        <v>776</v>
      </c>
      <c r="C15" s="209">
        <v>0.28060590000000002</v>
      </c>
      <c r="D15" s="205" t="s">
        <v>127</v>
      </c>
      <c r="E15" s="157"/>
      <c r="F15" s="139"/>
      <c r="G15" s="139"/>
      <c r="H15" s="139"/>
      <c r="I15" s="139"/>
      <c r="J15" s="139"/>
      <c r="K15" s="139"/>
      <c r="L15" s="139"/>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row>
    <row r="16" spans="1:74" s="141" customFormat="1" ht="18" customHeight="1">
      <c r="A16" s="203" t="s">
        <v>155</v>
      </c>
      <c r="B16" s="204">
        <v>933</v>
      </c>
      <c r="C16" s="207">
        <v>0.33895799999999998</v>
      </c>
      <c r="D16" s="205" t="s">
        <v>127</v>
      </c>
      <c r="E16" s="157"/>
      <c r="F16" s="139"/>
      <c r="G16" s="139"/>
      <c r="H16" s="139"/>
      <c r="I16" s="139"/>
      <c r="J16" s="139"/>
      <c r="K16" s="139"/>
      <c r="L16" s="139"/>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row>
    <row r="17" spans="1:74" s="141" customFormat="1" ht="18" customHeight="1">
      <c r="A17" s="203" t="s">
        <v>146</v>
      </c>
      <c r="B17" s="204">
        <v>844</v>
      </c>
      <c r="C17" s="203">
        <v>0.31</v>
      </c>
      <c r="D17" s="205" t="s">
        <v>165</v>
      </c>
      <c r="E17" s="157"/>
      <c r="F17" s="139"/>
      <c r="G17" s="139"/>
      <c r="H17" s="139"/>
      <c r="I17" s="139"/>
      <c r="J17" s="139"/>
      <c r="K17" s="139"/>
      <c r="L17" s="139"/>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row>
    <row r="18" spans="1:74" s="141" customFormat="1" ht="18" customHeight="1">
      <c r="A18" s="203" t="s">
        <v>145</v>
      </c>
      <c r="B18" s="204">
        <v>1267</v>
      </c>
      <c r="C18" s="207">
        <v>0.4627</v>
      </c>
      <c r="D18" s="205" t="s">
        <v>165</v>
      </c>
      <c r="E18" s="157"/>
      <c r="F18" s="139"/>
      <c r="G18" s="139"/>
      <c r="H18" s="139"/>
      <c r="I18" s="139"/>
      <c r="J18" s="139"/>
      <c r="K18" s="139"/>
      <c r="L18" s="139"/>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row>
    <row r="19" spans="1:74" s="141" customFormat="1" ht="18" customHeight="1">
      <c r="A19" s="203" t="s">
        <v>143</v>
      </c>
      <c r="B19" s="204">
        <v>802</v>
      </c>
      <c r="C19" s="207">
        <v>0.29365089999999999</v>
      </c>
      <c r="D19" s="205" t="s">
        <v>127</v>
      </c>
      <c r="E19" s="158"/>
      <c r="F19" s="139"/>
      <c r="G19" s="139"/>
      <c r="H19" s="139"/>
      <c r="I19" s="139"/>
      <c r="J19" s="139"/>
      <c r="K19" s="139"/>
      <c r="L19" s="139"/>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row>
    <row r="20" spans="1:74" ht="18" customHeight="1">
      <c r="A20" s="210" t="s">
        <v>122</v>
      </c>
      <c r="B20" s="204">
        <v>500</v>
      </c>
      <c r="C20" s="211">
        <v>0.35539340000000003</v>
      </c>
      <c r="D20" s="205" t="s">
        <v>129</v>
      </c>
      <c r="E20" s="159"/>
    </row>
    <row r="21" spans="1:74" ht="18" customHeight="1">
      <c r="A21" s="210" t="s">
        <v>122</v>
      </c>
      <c r="B21" s="204">
        <v>969</v>
      </c>
      <c r="C21" s="211">
        <v>0.1833815</v>
      </c>
      <c r="D21" s="205" t="s">
        <v>127</v>
      </c>
      <c r="E21" s="159"/>
    </row>
    <row r="22" spans="1:74" ht="18" customHeight="1">
      <c r="A22" s="210" t="s">
        <v>121</v>
      </c>
      <c r="B22" s="204">
        <v>500</v>
      </c>
      <c r="C22" s="211">
        <v>0.18347540000000001</v>
      </c>
      <c r="D22" s="205" t="s">
        <v>130</v>
      </c>
      <c r="E22" s="159"/>
    </row>
    <row r="23" spans="1:74" ht="18" customHeight="1">
      <c r="A23" s="210" t="s">
        <v>121</v>
      </c>
      <c r="B23" s="204">
        <v>861</v>
      </c>
      <c r="C23" s="211">
        <v>0.31594460000000002</v>
      </c>
      <c r="D23" s="205" t="s">
        <v>127</v>
      </c>
      <c r="E23" s="159"/>
    </row>
    <row r="24" spans="1:74" ht="18" customHeight="1">
      <c r="A24" s="210" t="s">
        <v>120</v>
      </c>
      <c r="B24" s="204">
        <v>500</v>
      </c>
      <c r="C24" s="211">
        <v>0.18353149999999999</v>
      </c>
      <c r="D24" s="205" t="s">
        <v>131</v>
      </c>
      <c r="E24" s="159"/>
    </row>
    <row r="25" spans="1:74" ht="18" customHeight="1">
      <c r="A25" s="210" t="s">
        <v>120</v>
      </c>
      <c r="B25" s="204">
        <v>997</v>
      </c>
      <c r="C25" s="211">
        <v>0.3659618</v>
      </c>
      <c r="D25" s="205" t="s">
        <v>127</v>
      </c>
      <c r="E25" s="159"/>
    </row>
    <row r="26" spans="1:74" ht="18" customHeight="1">
      <c r="A26" s="210" t="s">
        <v>119</v>
      </c>
      <c r="B26" s="204">
        <v>500</v>
      </c>
      <c r="C26" s="211">
        <v>0.18397520000000001</v>
      </c>
      <c r="D26" s="205" t="s">
        <v>132</v>
      </c>
      <c r="E26" s="159"/>
    </row>
    <row r="27" spans="1:74" ht="18" customHeight="1">
      <c r="A27" s="210" t="s">
        <v>119</v>
      </c>
      <c r="B27" s="204">
        <v>1074</v>
      </c>
      <c r="C27" s="211">
        <v>0.3951788</v>
      </c>
      <c r="D27" s="205" t="s">
        <v>127</v>
      </c>
      <c r="E27" s="159"/>
    </row>
    <row r="28" spans="1:74" ht="18" customHeight="1">
      <c r="A28" s="210" t="s">
        <v>118</v>
      </c>
      <c r="B28" s="204">
        <v>500</v>
      </c>
      <c r="C28" s="211">
        <v>0.18459929999999999</v>
      </c>
      <c r="D28" s="205" t="s">
        <v>133</v>
      </c>
      <c r="E28" s="159"/>
    </row>
    <row r="29" spans="1:74" ht="18" customHeight="1">
      <c r="A29" s="210" t="s">
        <v>118</v>
      </c>
      <c r="B29" s="204">
        <v>992</v>
      </c>
      <c r="C29" s="211">
        <v>0.36624509999999999</v>
      </c>
      <c r="D29" s="205" t="s">
        <v>127</v>
      </c>
      <c r="E29" s="159"/>
    </row>
    <row r="30" spans="1:74" ht="18" customHeight="1">
      <c r="A30" s="210" t="s">
        <v>117</v>
      </c>
      <c r="B30" s="204">
        <v>500</v>
      </c>
      <c r="C30" s="211">
        <v>0.18511250000000001</v>
      </c>
      <c r="D30" s="205" t="s">
        <v>128</v>
      </c>
      <c r="E30" s="159"/>
    </row>
    <row r="31" spans="1:74" ht="18" customHeight="1">
      <c r="A31" s="210" t="s">
        <v>117</v>
      </c>
      <c r="B31" s="204">
        <v>1163</v>
      </c>
      <c r="C31" s="211">
        <v>0.4305716</v>
      </c>
      <c r="D31" s="205" t="s">
        <v>127</v>
      </c>
      <c r="E31" s="159"/>
    </row>
    <row r="32" spans="1:74" ht="18" customHeight="1">
      <c r="A32" s="210" t="s">
        <v>116</v>
      </c>
      <c r="B32" s="204">
        <v>1280</v>
      </c>
      <c r="C32" s="211">
        <v>0.47804590000000002</v>
      </c>
      <c r="D32" s="205" t="s">
        <v>127</v>
      </c>
      <c r="E32" s="159"/>
    </row>
    <row r="33" spans="1:12" ht="18" customHeight="1">
      <c r="A33" s="210" t="s">
        <v>115</v>
      </c>
      <c r="B33" s="204">
        <v>2453</v>
      </c>
      <c r="C33" s="211">
        <v>0.91706790000000005</v>
      </c>
      <c r="D33" s="205" t="s">
        <v>127</v>
      </c>
      <c r="E33" s="159"/>
    </row>
    <row r="34" spans="1:12" ht="18" customHeight="1">
      <c r="A34" s="210" t="s">
        <v>114</v>
      </c>
      <c r="B34" s="204">
        <v>1149</v>
      </c>
      <c r="C34" s="211">
        <v>0.43297429999999998</v>
      </c>
      <c r="D34" s="205" t="s">
        <v>127</v>
      </c>
      <c r="E34" s="159"/>
    </row>
    <row r="35" spans="1:12" ht="18" customHeight="1">
      <c r="A35" s="210" t="s">
        <v>113</v>
      </c>
      <c r="B35" s="204">
        <v>792</v>
      </c>
      <c r="C35" s="211">
        <v>0.30130249999999997</v>
      </c>
      <c r="D35" s="205" t="s">
        <v>127</v>
      </c>
      <c r="E35" s="159"/>
    </row>
    <row r="36" spans="1:12" ht="18" customHeight="1">
      <c r="A36" s="210" t="s">
        <v>112</v>
      </c>
      <c r="B36" s="204">
        <v>835</v>
      </c>
      <c r="C36" s="211">
        <v>0.32053179999999998</v>
      </c>
      <c r="D36" s="205" t="s">
        <v>127</v>
      </c>
      <c r="E36" s="159"/>
    </row>
    <row r="37" spans="1:12" ht="18" customHeight="1">
      <c r="A37" s="210" t="s">
        <v>111</v>
      </c>
      <c r="B37" s="204">
        <v>679</v>
      </c>
      <c r="C37" s="211">
        <v>0.26064799999999999</v>
      </c>
      <c r="D37" s="205" t="s">
        <v>127</v>
      </c>
      <c r="E37" s="159"/>
    </row>
    <row r="38" spans="1:12" ht="18" customHeight="1">
      <c r="A38" s="212" t="s">
        <v>110</v>
      </c>
      <c r="B38" s="213">
        <v>760</v>
      </c>
      <c r="C38" s="211">
        <v>0.29174149999999999</v>
      </c>
      <c r="D38" s="205" t="s">
        <v>127</v>
      </c>
      <c r="E38" s="160"/>
      <c r="F38" s="105"/>
      <c r="G38" s="105"/>
      <c r="H38" s="105"/>
      <c r="I38" s="105"/>
      <c r="J38" s="105"/>
      <c r="K38" s="105"/>
      <c r="L38" s="106"/>
    </row>
    <row r="39" spans="1:12" ht="18" customHeight="1">
      <c r="A39" s="212" t="s">
        <v>109</v>
      </c>
      <c r="B39" s="213">
        <v>1800</v>
      </c>
      <c r="C39" s="211">
        <v>0.69096679999999999</v>
      </c>
      <c r="D39" s="205" t="s">
        <v>134</v>
      </c>
      <c r="E39" s="160"/>
      <c r="F39" s="105"/>
      <c r="G39" s="105"/>
      <c r="H39" s="105"/>
      <c r="I39" s="105"/>
      <c r="J39" s="105"/>
      <c r="K39" s="105"/>
      <c r="L39" s="106"/>
    </row>
    <row r="40" spans="1:12" ht="18" customHeight="1">
      <c r="A40" s="212" t="s">
        <v>108</v>
      </c>
      <c r="B40" s="213">
        <v>300</v>
      </c>
      <c r="C40" s="211">
        <v>0.11516120000000001</v>
      </c>
      <c r="D40" s="205" t="s">
        <v>127</v>
      </c>
      <c r="E40" s="160"/>
      <c r="F40" s="105"/>
      <c r="G40" s="105"/>
      <c r="H40" s="105"/>
      <c r="I40" s="105"/>
      <c r="J40" s="105"/>
      <c r="K40" s="105"/>
      <c r="L40" s="106"/>
    </row>
    <row r="41" spans="1:12" ht="18" customHeight="1">
      <c r="A41" s="212" t="s">
        <v>107</v>
      </c>
      <c r="B41" s="213">
        <v>400</v>
      </c>
      <c r="C41" s="211">
        <v>0.1535482</v>
      </c>
      <c r="D41" s="205" t="s">
        <v>127</v>
      </c>
      <c r="E41" s="160"/>
      <c r="F41" s="105"/>
      <c r="G41" s="105"/>
      <c r="H41" s="105"/>
      <c r="I41" s="105"/>
      <c r="J41" s="105"/>
      <c r="K41" s="105"/>
      <c r="L41" s="106"/>
    </row>
    <row r="42" spans="1:12" ht="18" customHeight="1">
      <c r="A42" s="212" t="s">
        <v>105</v>
      </c>
      <c r="B42" s="213">
        <v>1200</v>
      </c>
      <c r="C42" s="211">
        <v>0.46064460000000002</v>
      </c>
      <c r="D42" s="205" t="s">
        <v>127</v>
      </c>
      <c r="E42" s="160"/>
      <c r="F42" s="105"/>
      <c r="G42" s="105"/>
      <c r="H42" s="105"/>
      <c r="I42" s="105"/>
      <c r="J42" s="105"/>
      <c r="K42" s="105"/>
      <c r="L42" s="106"/>
    </row>
    <row r="43" spans="1:12" ht="18" customHeight="1">
      <c r="A43" s="131"/>
      <c r="B43" s="133"/>
      <c r="C43" s="105"/>
      <c r="E43" s="105"/>
      <c r="F43" s="105"/>
      <c r="G43" s="105"/>
      <c r="H43" s="105"/>
      <c r="I43" s="105"/>
      <c r="J43" s="105"/>
      <c r="K43" s="105"/>
      <c r="L43" s="106"/>
    </row>
    <row r="44" spans="1:12" ht="18" customHeight="1">
      <c r="A44" s="131"/>
      <c r="B44" s="133"/>
      <c r="C44" s="105"/>
      <c r="E44" s="105"/>
      <c r="F44" s="105"/>
      <c r="G44" s="105"/>
      <c r="H44" s="105"/>
      <c r="I44" s="105"/>
      <c r="J44" s="105"/>
      <c r="K44" s="105"/>
      <c r="L44" s="106"/>
    </row>
    <row r="45" spans="1:12" ht="18" customHeight="1">
      <c r="A45" s="131"/>
      <c r="B45" s="133"/>
      <c r="C45" s="105"/>
      <c r="E45" s="105"/>
      <c r="F45" s="105"/>
      <c r="G45" s="105"/>
      <c r="H45" s="105"/>
      <c r="I45" s="105"/>
      <c r="J45" s="105"/>
      <c r="K45" s="105"/>
      <c r="L45" s="106"/>
    </row>
  </sheetData>
  <customSheetViews>
    <customSheetView guid="{67DDFA58-7FF7-4BDB-BFFF-31DB4021D095}" showPageBreaks="1" showGridLines="0">
      <selection activeCell="D15" sqref="D15"/>
      <pageMargins left="0.7" right="0.7" top="0.75" bottom="0.75" header="0.3" footer="0.3"/>
      <pageSetup paperSize="9" orientation="landscape"/>
    </customSheetView>
    <customSheetView guid="{7DC6D345-C4C0-4162-8636-D495A245EBF8}" showPageBreaks="1">
      <pane xSplit="1" ySplit="4" topLeftCell="B5" activePane="bottomRight" state="frozenSplit"/>
      <selection pane="bottomRight" activeCell="C9" sqref="C9"/>
      <pageMargins left="0.7" right="0.7" top="0.75" bottom="0.75" header="0.3" footer="0.3"/>
      <pageSetup paperSize="9" orientation="portrait"/>
    </customSheetView>
  </customSheetViews>
  <pageMargins left="0.19685039370078741" right="0.19685039370078741" top="0.23622047244094491" bottom="0" header="0.31496062992125984" footer="0.31496062992125984"/>
  <pageSetup paperSize="9" scale="95" orientation="landscape" r:id="rId1"/>
  <headerFooter>
    <oddHeader>&amp;CBezeq - The Israel Telecommunication Corp. Ltd</oddHeader>
    <oddFooter>&amp;R&amp;P of &amp;N
Dividends</oddFooter>
  </headerFooter>
  <rowBreaks count="1" manualBreakCount="1">
    <brk id="35" max="3" man="1"/>
  </rowBreaks>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V252"/>
  <sheetViews>
    <sheetView showGridLines="0" workbookViewId="0">
      <selection activeCell="I18" sqref="I18"/>
    </sheetView>
  </sheetViews>
  <sheetFormatPr defaultColWidth="8.6640625" defaultRowHeight="13.2"/>
  <cols>
    <col min="1" max="1" width="34.44140625" style="104" customWidth="1"/>
    <col min="2" max="2" width="2.33203125" style="104" customWidth="1"/>
    <col min="3" max="10" width="10.33203125" style="104" customWidth="1"/>
    <col min="11" max="11" width="10.44140625" style="104" customWidth="1"/>
    <col min="12" max="12" width="17.44140625" style="104" customWidth="1"/>
    <col min="13" max="13" width="17.6640625" style="107" customWidth="1"/>
    <col min="14" max="14" width="9.33203125" style="107" customWidth="1"/>
    <col min="15" max="89" width="8.6640625" style="107"/>
    <col min="90" max="16384" width="8.6640625" style="104"/>
  </cols>
  <sheetData>
    <row r="1" spans="1:256" s="105" customFormat="1" ht="15.6">
      <c r="C1" s="235" t="s">
        <v>4</v>
      </c>
      <c r="D1" s="235"/>
      <c r="E1" s="235"/>
      <c r="F1" s="235"/>
      <c r="G1" s="235"/>
      <c r="H1" s="235"/>
      <c r="I1" s="235"/>
      <c r="J1" s="235"/>
      <c r="K1" s="235"/>
      <c r="L1" s="235"/>
      <c r="M1" s="106"/>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row>
    <row r="2" spans="1:256" s="105" customFormat="1">
      <c r="M2" s="106"/>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row>
    <row r="3" spans="1:256" s="105" customFormat="1" ht="22.8">
      <c r="C3" s="236" t="s">
        <v>53</v>
      </c>
      <c r="D3" s="236"/>
      <c r="E3" s="236"/>
      <c r="F3" s="236"/>
      <c r="G3" s="236"/>
      <c r="H3" s="236"/>
      <c r="I3" s="236"/>
      <c r="J3" s="236"/>
      <c r="K3" s="236"/>
      <c r="L3" s="236"/>
      <c r="M3" s="106"/>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row>
    <row r="4" spans="1:256" s="105" customFormat="1" ht="9.75" customHeight="1">
      <c r="M4" s="106"/>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row>
    <row r="5" spans="1:256" s="111" customFormat="1" ht="6.75" customHeight="1">
      <c r="A5" s="108"/>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10"/>
      <c r="AK5" s="110"/>
      <c r="AL5" s="110"/>
      <c r="AM5" s="110"/>
      <c r="AN5" s="110"/>
      <c r="AO5" s="110"/>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110"/>
      <c r="BN5" s="110"/>
      <c r="BO5" s="110"/>
      <c r="BP5" s="110"/>
      <c r="BQ5" s="110"/>
      <c r="BR5" s="110"/>
      <c r="BS5" s="110"/>
      <c r="BT5" s="110"/>
      <c r="BU5" s="110"/>
      <c r="BV5" s="110"/>
      <c r="BW5" s="110"/>
      <c r="BX5" s="110"/>
      <c r="BY5" s="110"/>
      <c r="BZ5" s="110"/>
      <c r="CA5" s="110"/>
      <c r="CB5" s="110"/>
      <c r="CC5" s="110"/>
      <c r="CD5" s="110"/>
      <c r="CE5" s="110"/>
      <c r="CF5" s="110"/>
      <c r="CG5" s="110"/>
      <c r="CH5" s="110"/>
      <c r="CI5" s="110"/>
      <c r="CJ5" s="110"/>
      <c r="CK5" s="110"/>
      <c r="CL5" s="110"/>
      <c r="CM5" s="110"/>
      <c r="CN5" s="110"/>
      <c r="CO5" s="110"/>
      <c r="CP5" s="110"/>
      <c r="CQ5" s="110"/>
      <c r="CR5" s="110"/>
      <c r="CS5" s="110"/>
      <c r="CT5" s="110"/>
      <c r="CU5" s="110"/>
      <c r="CV5" s="110"/>
      <c r="CW5" s="110"/>
      <c r="CX5" s="110"/>
      <c r="CY5" s="110"/>
      <c r="CZ5" s="110"/>
      <c r="DA5" s="110"/>
      <c r="DB5" s="110"/>
      <c r="DC5" s="110"/>
      <c r="DD5" s="110"/>
      <c r="DE5" s="110"/>
      <c r="DF5" s="110"/>
      <c r="DG5" s="110"/>
      <c r="DH5" s="110"/>
      <c r="DI5" s="110"/>
      <c r="DJ5" s="110"/>
      <c r="DK5" s="110"/>
      <c r="DL5" s="110"/>
      <c r="DM5" s="110"/>
      <c r="DN5" s="110"/>
      <c r="DO5" s="110"/>
      <c r="DP5" s="110"/>
      <c r="DQ5" s="110"/>
      <c r="DR5" s="110"/>
      <c r="DS5" s="110"/>
      <c r="DT5" s="110"/>
      <c r="DU5" s="110"/>
      <c r="DV5" s="110"/>
      <c r="DW5" s="110"/>
      <c r="DX5" s="110"/>
      <c r="DY5" s="110"/>
      <c r="DZ5" s="110"/>
      <c r="EA5" s="110"/>
      <c r="EB5" s="110"/>
      <c r="EC5" s="110"/>
      <c r="ED5" s="110"/>
      <c r="EE5" s="110"/>
      <c r="EF5" s="110"/>
      <c r="EG5" s="110"/>
      <c r="EH5" s="110"/>
      <c r="EI5" s="110"/>
      <c r="EJ5" s="110"/>
      <c r="EK5" s="110"/>
      <c r="EL5" s="110"/>
      <c r="EM5" s="110"/>
      <c r="EN5" s="110"/>
      <c r="EO5" s="110"/>
      <c r="EP5" s="110"/>
      <c r="EQ5" s="110"/>
      <c r="ER5" s="110"/>
      <c r="ES5" s="110"/>
      <c r="ET5" s="110"/>
      <c r="EU5" s="110"/>
      <c r="EV5" s="110"/>
      <c r="EW5" s="110"/>
      <c r="EX5" s="110"/>
      <c r="EY5" s="110"/>
      <c r="EZ5" s="110"/>
      <c r="FA5" s="110"/>
      <c r="FB5" s="110"/>
      <c r="FC5" s="110"/>
      <c r="FD5" s="110"/>
      <c r="FE5" s="110"/>
      <c r="FF5" s="110"/>
      <c r="FG5" s="110"/>
      <c r="FH5" s="110"/>
      <c r="FI5" s="110"/>
      <c r="FJ5" s="110"/>
      <c r="FK5" s="110"/>
      <c r="FL5" s="110"/>
      <c r="FM5" s="110"/>
      <c r="FN5" s="110"/>
      <c r="FO5" s="110"/>
      <c r="FP5" s="110"/>
      <c r="FQ5" s="110"/>
      <c r="FR5" s="110"/>
      <c r="FS5" s="110"/>
      <c r="FT5" s="110"/>
      <c r="FU5" s="110"/>
      <c r="FV5" s="110"/>
      <c r="FW5" s="110"/>
      <c r="FX5" s="110"/>
      <c r="FY5" s="110"/>
      <c r="FZ5" s="110"/>
      <c r="GA5" s="110"/>
      <c r="GB5" s="110"/>
      <c r="GC5" s="110"/>
      <c r="GD5" s="110"/>
      <c r="GE5" s="110"/>
      <c r="GF5" s="110"/>
      <c r="GG5" s="110"/>
      <c r="GH5" s="110"/>
      <c r="GI5" s="110"/>
      <c r="GJ5" s="110"/>
      <c r="GK5" s="110"/>
      <c r="GL5" s="110"/>
      <c r="GM5" s="110"/>
      <c r="GN5" s="110"/>
      <c r="GO5" s="110"/>
      <c r="GP5" s="110"/>
      <c r="GQ5" s="110"/>
      <c r="GR5" s="110"/>
      <c r="GS5" s="110"/>
      <c r="GT5" s="110"/>
      <c r="GU5" s="110"/>
      <c r="GV5" s="110"/>
      <c r="GW5" s="110"/>
      <c r="GX5" s="110"/>
      <c r="GY5" s="110"/>
      <c r="GZ5" s="110"/>
      <c r="HA5" s="110"/>
      <c r="HB5" s="110"/>
      <c r="HC5" s="110"/>
      <c r="HD5" s="110"/>
      <c r="HE5" s="110"/>
      <c r="HF5" s="110"/>
      <c r="HG5" s="110"/>
      <c r="HH5" s="110"/>
      <c r="HI5" s="110"/>
      <c r="HJ5" s="110"/>
      <c r="HK5" s="110"/>
      <c r="HL5" s="110"/>
      <c r="HM5" s="110"/>
      <c r="HN5" s="110"/>
      <c r="HO5" s="110"/>
      <c r="HP5" s="110"/>
      <c r="HQ5" s="110"/>
      <c r="HR5" s="110"/>
      <c r="HS5" s="110"/>
      <c r="HT5" s="110"/>
      <c r="HU5" s="110"/>
      <c r="HV5" s="110"/>
      <c r="HW5" s="110"/>
      <c r="HX5" s="110"/>
      <c r="HY5" s="110"/>
      <c r="HZ5" s="110"/>
      <c r="IA5" s="110"/>
      <c r="IB5" s="110"/>
      <c r="IC5" s="110"/>
      <c r="ID5" s="110"/>
      <c r="IE5" s="110"/>
      <c r="IF5" s="110"/>
      <c r="IG5" s="110"/>
      <c r="IH5" s="110"/>
      <c r="II5" s="110"/>
      <c r="IJ5" s="110"/>
      <c r="IK5" s="110"/>
      <c r="IL5" s="110"/>
      <c r="IM5" s="110"/>
      <c r="IN5" s="110"/>
      <c r="IO5" s="110"/>
      <c r="IP5" s="110"/>
      <c r="IQ5" s="110"/>
      <c r="IR5" s="110"/>
      <c r="IS5" s="110"/>
      <c r="IT5" s="110"/>
      <c r="IU5" s="110"/>
      <c r="IV5" s="110"/>
    </row>
    <row r="6" spans="1:256">
      <c r="A6" s="112"/>
      <c r="B6" s="105"/>
      <c r="C6" s="105"/>
      <c r="D6" s="105"/>
      <c r="E6" s="105"/>
      <c r="F6" s="105"/>
      <c r="G6" s="105"/>
      <c r="H6" s="105"/>
      <c r="I6" s="105"/>
      <c r="J6" s="105"/>
      <c r="K6" s="105"/>
      <c r="L6" s="105"/>
      <c r="M6" s="106"/>
    </row>
    <row r="7" spans="1:256" s="114" customFormat="1">
      <c r="A7" s="113" t="s">
        <v>39</v>
      </c>
    </row>
    <row r="8" spans="1:256">
      <c r="A8" s="105"/>
      <c r="B8" s="105"/>
      <c r="C8" s="115"/>
      <c r="D8" s="105"/>
      <c r="E8" s="105"/>
      <c r="F8" s="105"/>
      <c r="G8" s="105"/>
      <c r="H8" s="105"/>
      <c r="I8" s="105"/>
      <c r="J8" s="105"/>
      <c r="K8" s="105"/>
      <c r="L8" s="105"/>
      <c r="M8" s="106"/>
    </row>
    <row r="9" spans="1:256">
      <c r="A9" s="116" t="s">
        <v>9</v>
      </c>
      <c r="B9" s="116" t="s">
        <v>36</v>
      </c>
      <c r="C9" s="116" t="s">
        <v>254</v>
      </c>
      <c r="D9" s="105"/>
      <c r="E9" s="105"/>
      <c r="F9" s="105"/>
      <c r="G9" s="105"/>
      <c r="H9" s="105"/>
      <c r="I9" s="105"/>
      <c r="J9" s="105"/>
      <c r="K9" s="105"/>
      <c r="L9" s="105"/>
      <c r="M9" s="106"/>
    </row>
    <row r="10" spans="1:256">
      <c r="A10" s="116" t="s">
        <v>206</v>
      </c>
      <c r="B10" s="116" t="s">
        <v>36</v>
      </c>
      <c r="C10" s="116" t="s">
        <v>263</v>
      </c>
      <c r="D10" s="105"/>
      <c r="E10" s="105"/>
      <c r="F10" s="105"/>
      <c r="G10" s="105"/>
      <c r="H10" s="105"/>
      <c r="I10" s="105"/>
      <c r="J10" s="105"/>
      <c r="K10" s="105"/>
      <c r="L10" s="105"/>
      <c r="M10" s="106"/>
    </row>
    <row r="11" spans="1:256">
      <c r="A11" s="116" t="s">
        <v>13</v>
      </c>
      <c r="B11" s="116" t="s">
        <v>36</v>
      </c>
      <c r="C11" s="116" t="s">
        <v>257</v>
      </c>
      <c r="D11" s="105"/>
      <c r="E11" s="105"/>
      <c r="F11" s="105"/>
      <c r="G11" s="105"/>
      <c r="H11" s="105"/>
      <c r="I11" s="105"/>
      <c r="J11" s="105"/>
      <c r="K11" s="105"/>
      <c r="L11" s="105"/>
      <c r="M11" s="106"/>
    </row>
    <row r="12" spans="1:256">
      <c r="A12" s="116" t="s">
        <v>57</v>
      </c>
      <c r="B12" s="116" t="s">
        <v>36</v>
      </c>
      <c r="C12" s="116" t="s">
        <v>73</v>
      </c>
      <c r="D12" s="105"/>
      <c r="E12" s="105"/>
      <c r="F12" s="105"/>
      <c r="G12" s="105"/>
      <c r="H12" s="105"/>
      <c r="I12" s="105"/>
      <c r="J12" s="105"/>
      <c r="K12" s="105"/>
      <c r="L12" s="105"/>
      <c r="M12" s="106"/>
    </row>
    <row r="13" spans="1:256">
      <c r="A13" s="116" t="s">
        <v>256</v>
      </c>
      <c r="B13" s="116" t="s">
        <v>36</v>
      </c>
      <c r="C13" s="116" t="s">
        <v>264</v>
      </c>
      <c r="D13" s="105"/>
      <c r="E13" s="105"/>
      <c r="F13" s="105"/>
      <c r="G13" s="105"/>
      <c r="H13" s="105"/>
      <c r="I13" s="105"/>
      <c r="J13" s="105"/>
      <c r="K13" s="105"/>
      <c r="L13" s="105"/>
      <c r="M13" s="106"/>
    </row>
    <row r="14" spans="1:256">
      <c r="A14" s="116" t="s">
        <v>71</v>
      </c>
      <c r="B14" s="116" t="s">
        <v>36</v>
      </c>
      <c r="C14" s="116" t="s">
        <v>72</v>
      </c>
      <c r="D14" s="105"/>
      <c r="E14" s="105"/>
      <c r="F14" s="105"/>
      <c r="G14" s="105"/>
      <c r="H14" s="105"/>
      <c r="I14" s="105"/>
      <c r="J14" s="105"/>
      <c r="K14" s="105"/>
      <c r="L14" s="105"/>
      <c r="M14" s="106"/>
    </row>
    <row r="15" spans="1:256">
      <c r="A15" s="116" t="s">
        <v>35</v>
      </c>
      <c r="B15" s="116" t="s">
        <v>36</v>
      </c>
      <c r="C15" s="116" t="s">
        <v>58</v>
      </c>
      <c r="D15" s="105"/>
      <c r="E15" s="105"/>
      <c r="F15" s="105"/>
      <c r="G15" s="105"/>
      <c r="H15" s="105"/>
      <c r="I15" s="105"/>
      <c r="J15" s="105"/>
      <c r="K15" s="105"/>
      <c r="L15" s="105"/>
      <c r="M15" s="106"/>
    </row>
    <row r="16" spans="1:256">
      <c r="A16" s="116" t="s">
        <v>37</v>
      </c>
      <c r="B16" s="116" t="s">
        <v>36</v>
      </c>
      <c r="C16" s="116" t="s">
        <v>59</v>
      </c>
      <c r="D16" s="105"/>
      <c r="E16" s="105"/>
      <c r="F16" s="105"/>
      <c r="G16" s="105"/>
      <c r="H16" s="105"/>
      <c r="I16" s="105"/>
      <c r="J16" s="105"/>
      <c r="K16" s="105"/>
      <c r="L16" s="105"/>
      <c r="M16" s="106"/>
    </row>
    <row r="17" spans="1:13">
      <c r="A17" s="116" t="s">
        <v>44</v>
      </c>
      <c r="B17" s="116" t="s">
        <v>36</v>
      </c>
      <c r="C17" s="116" t="s">
        <v>60</v>
      </c>
      <c r="D17" s="105"/>
      <c r="E17" s="105"/>
      <c r="F17" s="105"/>
      <c r="G17" s="105"/>
      <c r="H17" s="105"/>
      <c r="I17" s="105"/>
      <c r="J17" s="105"/>
      <c r="K17" s="105"/>
      <c r="L17" s="105"/>
      <c r="M17" s="106"/>
    </row>
    <row r="18" spans="1:13">
      <c r="A18" s="116" t="s">
        <v>43</v>
      </c>
      <c r="B18" s="116" t="s">
        <v>36</v>
      </c>
      <c r="C18" s="116" t="s">
        <v>61</v>
      </c>
      <c r="D18" s="105"/>
      <c r="E18" s="105"/>
      <c r="F18" s="105"/>
      <c r="G18" s="105"/>
      <c r="H18" s="105"/>
      <c r="I18" s="105"/>
      <c r="J18" s="105"/>
      <c r="K18" s="105"/>
      <c r="L18" s="105"/>
      <c r="M18" s="106"/>
    </row>
    <row r="19" spans="1:13">
      <c r="A19" s="116"/>
      <c r="B19" s="116"/>
      <c r="C19" s="116"/>
      <c r="D19" s="105"/>
      <c r="E19" s="105"/>
      <c r="F19" s="105"/>
      <c r="G19" s="105"/>
      <c r="H19" s="105"/>
      <c r="I19" s="105"/>
      <c r="J19" s="105"/>
      <c r="K19" s="105"/>
      <c r="L19" s="105"/>
      <c r="M19" s="106"/>
    </row>
    <row r="20" spans="1:13">
      <c r="A20" s="117"/>
    </row>
    <row r="23" spans="1:13" ht="6" customHeight="1"/>
    <row r="25" spans="1:13">
      <c r="A25" s="118"/>
    </row>
    <row r="26" spans="1:13" ht="7.5" customHeight="1"/>
    <row r="250" spans="23:23">
      <c r="W250" s="107">
        <v>118</v>
      </c>
    </row>
    <row r="252" spans="23:23">
      <c r="W252" s="121">
        <v>-9.1999999999999998E-2</v>
      </c>
    </row>
  </sheetData>
  <dataConsolidate/>
  <customSheetViews>
    <customSheetView guid="{67DDFA58-7FF7-4BDB-BFFF-31DB4021D095}" showGridLines="0">
      <selection activeCell="D27" sqref="D27"/>
      <pageMargins left="0.7" right="0.7" top="0.75" bottom="0.75" header="0.3" footer="0.3"/>
      <pageSetup scale="85" orientation="landscape"/>
      <headerFooter scaleWithDoc="0" alignWithMargins="0"/>
    </customSheetView>
    <customSheetView guid="{7DC6D345-C4C0-4162-8636-D495A245EBF8}" showPageBreaks="1" showGridLines="0" printArea="1">
      <selection activeCell="A9" sqref="A9"/>
      <pageMargins left="0.7" right="0.7" top="0.75" bottom="0.75" header="0.3" footer="0.3"/>
      <pageSetup scale="85" orientation="landscape"/>
      <headerFooter scaleWithDoc="0" alignWithMargins="0"/>
    </customSheetView>
    <customSheetView guid="{44BC518B-F505-4956-BE42-792973965029}" showPageBreaks="1" showGridLines="0" printArea="1" showRuler="0" topLeftCell="A28">
      <selection activeCell="M263" sqref="M263"/>
      <pageMargins left="0.7" right="0.7" top="0.75" bottom="0.75" header="0.3" footer="0.3"/>
      <pageSetup scale="85" orientation="landscape"/>
      <headerFooter alignWithMargins="0"/>
    </customSheetView>
    <customSheetView guid="{C32ED439-2914-4073-BFBF-7718D6CFE811}" showPageBreaks="1" showGridLines="0" printArea="1">
      <selection activeCell="I17" sqref="I17"/>
      <pageMargins left="0.7" right="0.7" top="0.75" bottom="0.75" header="0.3" footer="0.3"/>
      <pageSetup scale="80" orientation="landscape"/>
      <headerFooter scaleWithDoc="0" alignWithMargins="0"/>
    </customSheetView>
    <customSheetView guid="{6A44E415-E6EC-4CA2-8B4C-A374F00F0261}" showPageBreaks="1" printArea="1" showRuler="0">
      <pageMargins left="0.7" right="0.7" top="0.75" bottom="0.75" header="0.3" footer="0.3"/>
      <pageSetup scale="85" orientation="landscape"/>
      <headerFooter alignWithMargins="0"/>
    </customSheetView>
    <customSheetView guid="{F07085DA-2B2D-4BE1-891D-F25D604A092E}" showPageBreaks="1" printArea="1" showRuler="0" topLeftCell="A22">
      <selection activeCell="A77" sqref="A77"/>
      <pageMargins left="0.7" right="0.7" top="0.75" bottom="0.75" header="0.3" footer="0.3"/>
      <pageSetup scale="85" orientation="landscape"/>
      <headerFooter alignWithMargins="0"/>
    </customSheetView>
    <customSheetView guid="{C6BBAF30-1E81-42FB-BA93-01B6813E2C8C}" showPageBreaks="1" printArea="1" showRuler="0">
      <pageMargins left="0.7" right="0.7" top="0.75" bottom="0.75" header="0.3" footer="0.3"/>
      <printOptions horizontalCentered="1"/>
      <pageSetup scale="83" orientation="landscape"/>
      <headerFooter alignWithMargins="0"/>
    </customSheetView>
  </customSheetViews>
  <mergeCells count="2">
    <mergeCell ref="C1:L1"/>
    <mergeCell ref="C3:L3"/>
  </mergeCells>
  <phoneticPr fontId="4" type="noConversion"/>
  <pageMargins left="0.51181102362204722" right="0.23622047244094491" top="0.47244094488188981" bottom="0.59055118110236227" header="0.51181102362204722" footer="0.23622047244094491"/>
  <pageSetup scale="85" orientation="landscape" r:id="rId1"/>
  <headerFooter scaleWithDoc="0" alignWithMargins="0">
    <oddHeader>&amp;CBezeq - The Israel Telecommunication Corp. Ltd</oddHeader>
    <oddFooter>&amp;R&amp;P of &amp;N
Glossary</oddFooter>
  </headerFooter>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13</vt:i4>
      </vt:variant>
    </vt:vector>
  </HeadingPairs>
  <TitlesOfParts>
    <vt:vector size="19" baseType="lpstr">
      <vt:lpstr>Index</vt:lpstr>
      <vt:lpstr>I - Financials</vt:lpstr>
      <vt:lpstr>II- Other income-exp</vt:lpstr>
      <vt:lpstr>III - KPIs</vt:lpstr>
      <vt:lpstr>IV - Dividends</vt:lpstr>
      <vt:lpstr>V - Glossary </vt:lpstr>
      <vt:lpstr>'III - KPIs'!_ftn1</vt:lpstr>
      <vt:lpstr>'III - KPIs'!_ftn2</vt:lpstr>
      <vt:lpstr>'III - KPIs'!_ftnref1</vt:lpstr>
      <vt:lpstr>'III - KPIs'!_ftnref2</vt:lpstr>
      <vt:lpstr>'I - Financials'!WPrint_Area_W</vt:lpstr>
      <vt:lpstr>'II- Other income-exp'!WPrint_Area_W</vt:lpstr>
      <vt:lpstr>'III - KPIs'!WPrint_Area_W</vt:lpstr>
      <vt:lpstr>Index!WPrint_Area_W</vt:lpstr>
      <vt:lpstr>'IV - Dividends'!WPrint_Area_W</vt:lpstr>
      <vt:lpstr>'V - Glossary '!WPrint_Area_W</vt:lpstr>
      <vt:lpstr>'I - Financials'!WPrint_TitlesW</vt:lpstr>
      <vt:lpstr>'III - KPIs'!WPrint_TitlesW</vt:lpstr>
      <vt:lpstr>'IV - Dividends'!WPrint_TitlesW</vt:lpstr>
    </vt:vector>
  </TitlesOfParts>
  <Company>בזק</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bezeq</dc:creator>
  <cp:lastModifiedBy>נפתלי שטרנליכט - חטיבת כספים - Naftali Shternlicht</cp:lastModifiedBy>
  <cp:lastPrinted>2019-03-25T13:52:16Z</cp:lastPrinted>
  <dcterms:created xsi:type="dcterms:W3CDTF">1999-09-09T08:56:33Z</dcterms:created>
  <dcterms:modified xsi:type="dcterms:W3CDTF">2019-03-28T08:32:26Z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